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600" yWindow="135" windowWidth="13965" windowHeight="8265" tabRatio="707" activeTab="5"/>
  </bookViews>
  <sheets>
    <sheet name="alle WM" sheetId="6" r:id="rId1"/>
    <sheet name="Teilnehmer" sheetId="8" r:id="rId2"/>
    <sheet name="Gegner Deutschland" sheetId="11" r:id="rId3"/>
    <sheet name="WM 2010" sheetId="13" r:id="rId4"/>
    <sheet name="WM-Quali 2014" sheetId="2" r:id="rId5"/>
    <sheet name="WM 2014" sheetId="3" r:id="rId6"/>
    <sheet name="Finalbaum" sheetId="12" r:id="rId7"/>
  </sheets>
  <definedNames>
    <definedName name="_xlnm._FilterDatabase" localSheetId="2" hidden="1">'Gegner Deutschland'!$A$3:$X$48</definedName>
    <definedName name="_xlnm._FilterDatabase" localSheetId="1" hidden="1">Teilnehmer!$X$1:$X$108</definedName>
    <definedName name="_xlnm.Print_Area" localSheetId="2">'Gegner Deutschland'!$B$1:$AB$48</definedName>
    <definedName name="_xlnm.Print_Area" localSheetId="1">Teilnehmer!$B$1:$X$79</definedName>
    <definedName name="_xlnm.Print_Area" localSheetId="3">'WM 2010'!$A$1:$R$95</definedName>
    <definedName name="_xlnm.Print_Area" localSheetId="5">'WM 2014'!$A$1:$BB$341</definedName>
    <definedName name="_xlnm.Print_Titles" localSheetId="1">Teilnehmer!$1:$1</definedName>
  </definedNames>
  <calcPr calcId="125725" fullCalcOnLoad="1" iterateCount="1000" iterateDelta="1E-4"/>
</workbook>
</file>

<file path=xl/calcChain.xml><?xml version="1.0" encoding="utf-8"?>
<calcChain xmlns="http://schemas.openxmlformats.org/spreadsheetml/2006/main">
  <c r="W3" i="8"/>
  <c r="Y3"/>
  <c r="Z3"/>
  <c r="X3"/>
  <c r="D77"/>
  <c r="D5"/>
  <c r="B3"/>
  <c r="D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8"/>
  <c r="D79"/>
  <c r="D80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11"/>
  <c r="Z1" i="11" a="1"/>
  <c r="Z1"/>
  <c r="Z4"/>
  <c r="O1" i="6"/>
  <c r="I1"/>
  <c r="A5" i="8"/>
  <c r="A6"/>
  <c r="A7"/>
  <c r="A8"/>
  <c r="A9"/>
  <c r="A10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4"/>
  <c r="B1"/>
  <c r="AC1"/>
  <c r="I8" i="2"/>
  <c r="I13"/>
  <c r="AC3" i="8"/>
  <c r="I3" i="3"/>
  <c r="D3"/>
  <c r="D19"/>
  <c r="E3"/>
  <c r="D21"/>
  <c r="D4"/>
  <c r="E4"/>
  <c r="D22"/>
  <c r="I6"/>
  <c r="D5"/>
  <c r="E5"/>
  <c r="D24"/>
  <c r="D6"/>
  <c r="E6"/>
  <c r="D26"/>
  <c r="I9"/>
  <c r="D7"/>
  <c r="E7"/>
  <c r="D27"/>
  <c r="D8"/>
  <c r="E8"/>
  <c r="D29"/>
  <c r="D14"/>
  <c r="E14"/>
  <c r="D23"/>
  <c r="E15"/>
  <c r="D15"/>
  <c r="D25"/>
  <c r="D16"/>
  <c r="E16"/>
  <c r="D28"/>
  <c r="E17"/>
  <c r="D17"/>
  <c r="D30"/>
  <c r="D33"/>
  <c r="J3"/>
  <c r="G19"/>
  <c r="G21"/>
  <c r="G22"/>
  <c r="G24"/>
  <c r="I8"/>
  <c r="G26"/>
  <c r="G27"/>
  <c r="I11"/>
  <c r="G29"/>
  <c r="G23"/>
  <c r="G25"/>
  <c r="G28"/>
  <c r="G30"/>
  <c r="D34"/>
  <c r="J19"/>
  <c r="J21"/>
  <c r="I4"/>
  <c r="J22"/>
  <c r="J6"/>
  <c r="J24"/>
  <c r="J26"/>
  <c r="J27"/>
  <c r="J11"/>
  <c r="J29"/>
  <c r="J23"/>
  <c r="J25"/>
  <c r="J28"/>
  <c r="J30"/>
  <c r="D35"/>
  <c r="M19"/>
  <c r="M21"/>
  <c r="J4"/>
  <c r="M22"/>
  <c r="M24"/>
  <c r="J8"/>
  <c r="M26"/>
  <c r="J9"/>
  <c r="M27"/>
  <c r="M29"/>
  <c r="M23"/>
  <c r="M25"/>
  <c r="M28"/>
  <c r="M30"/>
  <c r="D36"/>
  <c r="N33"/>
  <c r="H33"/>
  <c r="E21"/>
  <c r="E22"/>
  <c r="E24"/>
  <c r="E26"/>
  <c r="E27"/>
  <c r="E29"/>
  <c r="E23"/>
  <c r="E25"/>
  <c r="E28"/>
  <c r="E30"/>
  <c r="F33"/>
  <c r="F21"/>
  <c r="F22"/>
  <c r="F24"/>
  <c r="F26"/>
  <c r="F27"/>
  <c r="F29"/>
  <c r="F23"/>
  <c r="F25"/>
  <c r="F28"/>
  <c r="F30"/>
  <c r="G33"/>
  <c r="E33"/>
  <c r="H21"/>
  <c r="H22"/>
  <c r="H24"/>
  <c r="H26"/>
  <c r="H27"/>
  <c r="H29"/>
  <c r="H23"/>
  <c r="H25"/>
  <c r="H28"/>
  <c r="H30"/>
  <c r="F34"/>
  <c r="I21"/>
  <c r="I22"/>
  <c r="I24"/>
  <c r="I26"/>
  <c r="I27"/>
  <c r="I29"/>
  <c r="I23"/>
  <c r="I25"/>
  <c r="I28"/>
  <c r="I30"/>
  <c r="G34"/>
  <c r="E34"/>
  <c r="K21"/>
  <c r="K22"/>
  <c r="K24"/>
  <c r="K26"/>
  <c r="K27"/>
  <c r="K29"/>
  <c r="K23"/>
  <c r="K25"/>
  <c r="K28"/>
  <c r="K30"/>
  <c r="F35"/>
  <c r="L21"/>
  <c r="L22"/>
  <c r="L24"/>
  <c r="L26"/>
  <c r="L27"/>
  <c r="L29"/>
  <c r="L23"/>
  <c r="L25"/>
  <c r="L28"/>
  <c r="L30"/>
  <c r="G35"/>
  <c r="E35"/>
  <c r="N21"/>
  <c r="N22"/>
  <c r="N24"/>
  <c r="N26"/>
  <c r="N27"/>
  <c r="N29"/>
  <c r="N23"/>
  <c r="N25"/>
  <c r="N28"/>
  <c r="N30"/>
  <c r="F36"/>
  <c r="O21"/>
  <c r="O22"/>
  <c r="O24"/>
  <c r="O26"/>
  <c r="O27"/>
  <c r="O29"/>
  <c r="O23"/>
  <c r="O25"/>
  <c r="O28"/>
  <c r="O30"/>
  <c r="G36"/>
  <c r="E36"/>
  <c r="E37"/>
  <c r="I33"/>
  <c r="J33"/>
  <c r="B33"/>
  <c r="N34"/>
  <c r="H34"/>
  <c r="I34"/>
  <c r="J34"/>
  <c r="B34"/>
  <c r="N35"/>
  <c r="H35"/>
  <c r="I35"/>
  <c r="J35"/>
  <c r="B35"/>
  <c r="N36"/>
  <c r="H36"/>
  <c r="I36"/>
  <c r="J36"/>
  <c r="B36"/>
  <c r="N37"/>
  <c r="H37"/>
  <c r="I37"/>
  <c r="J37"/>
  <c r="B37"/>
  <c r="A33"/>
  <c r="A34"/>
  <c r="A35"/>
  <c r="A36"/>
  <c r="A37"/>
  <c r="Q5"/>
  <c r="Q6"/>
  <c r="Q7"/>
  <c r="Q8"/>
  <c r="Y5"/>
  <c r="Y6"/>
  <c r="C33"/>
  <c r="O5"/>
  <c r="C34"/>
  <c r="O6"/>
  <c r="Z5"/>
  <c r="Z6"/>
  <c r="Z7"/>
  <c r="Z8"/>
  <c r="Z9"/>
  <c r="Z10"/>
  <c r="Z12"/>
  <c r="AC5"/>
  <c r="AD5"/>
  <c r="AC10"/>
  <c r="AD10"/>
  <c r="AC12"/>
  <c r="AE5"/>
  <c r="L5"/>
  <c r="K33"/>
  <c r="K34"/>
  <c r="P5"/>
  <c r="AE6"/>
  <c r="Y7"/>
  <c r="C35"/>
  <c r="O7"/>
  <c r="AF5"/>
  <c r="AF6"/>
  <c r="AF7"/>
  <c r="AF8"/>
  <c r="AF9"/>
  <c r="AF10"/>
  <c r="AF12"/>
  <c r="AI6"/>
  <c r="AJ6"/>
  <c r="AI10"/>
  <c r="AJ10"/>
  <c r="AI5"/>
  <c r="AJ5"/>
  <c r="AI12"/>
  <c r="AK6"/>
  <c r="L6"/>
  <c r="AK7"/>
  <c r="Y8"/>
  <c r="C36"/>
  <c r="O8"/>
  <c r="AL5"/>
  <c r="AL6"/>
  <c r="AL7"/>
  <c r="AL8"/>
  <c r="AL9"/>
  <c r="AL10"/>
  <c r="AL12"/>
  <c r="AO9"/>
  <c r="AP9"/>
  <c r="AO6"/>
  <c r="AP6"/>
  <c r="AO8"/>
  <c r="AP8"/>
  <c r="AO5"/>
  <c r="AP5"/>
  <c r="AO12"/>
  <c r="AQ7"/>
  <c r="L7"/>
  <c r="AQ8"/>
  <c r="L8"/>
  <c r="AU5"/>
  <c r="K35"/>
  <c r="P6"/>
  <c r="AU6"/>
  <c r="K36"/>
  <c r="P7"/>
  <c r="AU7"/>
  <c r="P8"/>
  <c r="AU8"/>
  <c r="I42"/>
  <c r="D42"/>
  <c r="D58"/>
  <c r="E42"/>
  <c r="D60"/>
  <c r="D43"/>
  <c r="E43"/>
  <c r="D61"/>
  <c r="I45"/>
  <c r="D44"/>
  <c r="E44"/>
  <c r="D63"/>
  <c r="D45"/>
  <c r="E45"/>
  <c r="D65"/>
  <c r="I48"/>
  <c r="D46"/>
  <c r="E46"/>
  <c r="D66"/>
  <c r="D47"/>
  <c r="E47"/>
  <c r="D68"/>
  <c r="E53"/>
  <c r="D54"/>
  <c r="E55"/>
  <c r="D56"/>
  <c r="J42"/>
  <c r="G58"/>
  <c r="G60"/>
  <c r="G61"/>
  <c r="G63"/>
  <c r="I47"/>
  <c r="G65"/>
  <c r="G66"/>
  <c r="I50"/>
  <c r="G68"/>
  <c r="J58"/>
  <c r="J60"/>
  <c r="I43"/>
  <c r="J61"/>
  <c r="J45"/>
  <c r="J63"/>
  <c r="J65"/>
  <c r="J66"/>
  <c r="J50"/>
  <c r="J68"/>
  <c r="M58"/>
  <c r="M60"/>
  <c r="J43"/>
  <c r="M61"/>
  <c r="M63"/>
  <c r="J47"/>
  <c r="M65"/>
  <c r="J48"/>
  <c r="M66"/>
  <c r="M68"/>
  <c r="N72"/>
  <c r="E60"/>
  <c r="E61"/>
  <c r="E63"/>
  <c r="E65"/>
  <c r="E66"/>
  <c r="E68"/>
  <c r="F60"/>
  <c r="F61"/>
  <c r="F63"/>
  <c r="F65"/>
  <c r="F66"/>
  <c r="F68"/>
  <c r="H60"/>
  <c r="H61"/>
  <c r="H63"/>
  <c r="H65"/>
  <c r="H66"/>
  <c r="H68"/>
  <c r="I60"/>
  <c r="I61"/>
  <c r="I63"/>
  <c r="I65"/>
  <c r="I66"/>
  <c r="I68"/>
  <c r="K60"/>
  <c r="K61"/>
  <c r="K63"/>
  <c r="K65"/>
  <c r="K66"/>
  <c r="K68"/>
  <c r="L60"/>
  <c r="L61"/>
  <c r="L63"/>
  <c r="L65"/>
  <c r="L66"/>
  <c r="L68"/>
  <c r="N60"/>
  <c r="N61"/>
  <c r="N63"/>
  <c r="N65"/>
  <c r="N66"/>
  <c r="N68"/>
  <c r="O60"/>
  <c r="O61"/>
  <c r="O63"/>
  <c r="O65"/>
  <c r="O66"/>
  <c r="O68"/>
  <c r="N73"/>
  <c r="N74"/>
  <c r="N75"/>
  <c r="N76"/>
  <c r="C72"/>
  <c r="C73"/>
  <c r="C74"/>
  <c r="C75"/>
  <c r="I315"/>
  <c r="I316"/>
  <c r="I318"/>
  <c r="I319"/>
  <c r="I317"/>
  <c r="I320"/>
  <c r="I81"/>
  <c r="D81"/>
  <c r="D97"/>
  <c r="E81"/>
  <c r="D99"/>
  <c r="D82"/>
  <c r="E82"/>
  <c r="D100"/>
  <c r="I84"/>
  <c r="D83"/>
  <c r="E83"/>
  <c r="D102"/>
  <c r="D84"/>
  <c r="E84"/>
  <c r="D104"/>
  <c r="I87"/>
  <c r="D85"/>
  <c r="E85"/>
  <c r="D105"/>
  <c r="D86"/>
  <c r="E86"/>
  <c r="D107"/>
  <c r="E92"/>
  <c r="D93"/>
  <c r="E94"/>
  <c r="D95"/>
  <c r="J81"/>
  <c r="G97"/>
  <c r="G99"/>
  <c r="G100"/>
  <c r="G102"/>
  <c r="I86"/>
  <c r="G104"/>
  <c r="G105"/>
  <c r="I89"/>
  <c r="G107"/>
  <c r="J97"/>
  <c r="J99"/>
  <c r="I82"/>
  <c r="J100"/>
  <c r="J84"/>
  <c r="J102"/>
  <c r="J104"/>
  <c r="J105"/>
  <c r="J89"/>
  <c r="J107"/>
  <c r="M97"/>
  <c r="M99"/>
  <c r="J82"/>
  <c r="M100"/>
  <c r="M102"/>
  <c r="J86"/>
  <c r="M104"/>
  <c r="J87"/>
  <c r="M105"/>
  <c r="M107"/>
  <c r="N111"/>
  <c r="E99"/>
  <c r="E100"/>
  <c r="E102"/>
  <c r="E104"/>
  <c r="E105"/>
  <c r="E107"/>
  <c r="F99"/>
  <c r="F100"/>
  <c r="F102"/>
  <c r="F104"/>
  <c r="F105"/>
  <c r="F107"/>
  <c r="H99"/>
  <c r="H100"/>
  <c r="H102"/>
  <c r="H104"/>
  <c r="H105"/>
  <c r="H107"/>
  <c r="I99"/>
  <c r="I100"/>
  <c r="I102"/>
  <c r="I104"/>
  <c r="I105"/>
  <c r="I107"/>
  <c r="K99"/>
  <c r="K100"/>
  <c r="K102"/>
  <c r="K104"/>
  <c r="K105"/>
  <c r="K107"/>
  <c r="L99"/>
  <c r="L100"/>
  <c r="L102"/>
  <c r="L104"/>
  <c r="L105"/>
  <c r="L107"/>
  <c r="N99"/>
  <c r="N100"/>
  <c r="N102"/>
  <c r="N104"/>
  <c r="N105"/>
  <c r="N107"/>
  <c r="O99"/>
  <c r="O100"/>
  <c r="O102"/>
  <c r="O104"/>
  <c r="O105"/>
  <c r="O107"/>
  <c r="N112"/>
  <c r="N113"/>
  <c r="N114"/>
  <c r="C111"/>
  <c r="C112"/>
  <c r="C113"/>
  <c r="C114"/>
  <c r="I120"/>
  <c r="D120"/>
  <c r="D136"/>
  <c r="E120"/>
  <c r="D138"/>
  <c r="D121"/>
  <c r="E121"/>
  <c r="D139"/>
  <c r="I123"/>
  <c r="D122"/>
  <c r="E122"/>
  <c r="D141"/>
  <c r="D123"/>
  <c r="E123"/>
  <c r="D143"/>
  <c r="I126"/>
  <c r="D124"/>
  <c r="E124"/>
  <c r="D144"/>
  <c r="D125"/>
  <c r="E125"/>
  <c r="D146"/>
  <c r="E131"/>
  <c r="D132"/>
  <c r="E133"/>
  <c r="D134"/>
  <c r="J120"/>
  <c r="G136"/>
  <c r="G138"/>
  <c r="G139"/>
  <c r="G141"/>
  <c r="I125"/>
  <c r="G143"/>
  <c r="G144"/>
  <c r="I128"/>
  <c r="G146"/>
  <c r="J136"/>
  <c r="J138"/>
  <c r="I121"/>
  <c r="J139"/>
  <c r="J123"/>
  <c r="J141"/>
  <c r="J143"/>
  <c r="J144"/>
  <c r="J128"/>
  <c r="J146"/>
  <c r="M136"/>
  <c r="M138"/>
  <c r="J121"/>
  <c r="M139"/>
  <c r="M141"/>
  <c r="J125"/>
  <c r="M143"/>
  <c r="J126"/>
  <c r="M144"/>
  <c r="M146"/>
  <c r="N150"/>
  <c r="E138"/>
  <c r="E139"/>
  <c r="E141"/>
  <c r="E143"/>
  <c r="E144"/>
  <c r="E146"/>
  <c r="F138"/>
  <c r="F139"/>
  <c r="F141"/>
  <c r="F143"/>
  <c r="F144"/>
  <c r="F146"/>
  <c r="H138"/>
  <c r="H139"/>
  <c r="H141"/>
  <c r="H143"/>
  <c r="H144"/>
  <c r="H146"/>
  <c r="I138"/>
  <c r="I139"/>
  <c r="I141"/>
  <c r="I143"/>
  <c r="I144"/>
  <c r="I146"/>
  <c r="K138"/>
  <c r="K139"/>
  <c r="K141"/>
  <c r="K143"/>
  <c r="K144"/>
  <c r="K146"/>
  <c r="L138"/>
  <c r="L139"/>
  <c r="L141"/>
  <c r="L143"/>
  <c r="L144"/>
  <c r="L146"/>
  <c r="N138"/>
  <c r="N139"/>
  <c r="N141"/>
  <c r="N143"/>
  <c r="N144"/>
  <c r="N146"/>
  <c r="O138"/>
  <c r="O139"/>
  <c r="O141"/>
  <c r="O143"/>
  <c r="O144"/>
  <c r="O146"/>
  <c r="N151"/>
  <c r="N152"/>
  <c r="N153"/>
  <c r="N154"/>
  <c r="C150"/>
  <c r="C151"/>
  <c r="C152"/>
  <c r="C153"/>
  <c r="I158"/>
  <c r="D158"/>
  <c r="D174"/>
  <c r="E158"/>
  <c r="D176"/>
  <c r="D159"/>
  <c r="E159"/>
  <c r="D177"/>
  <c r="I161"/>
  <c r="D160"/>
  <c r="E160"/>
  <c r="D179"/>
  <c r="D161"/>
  <c r="E161"/>
  <c r="D181"/>
  <c r="I164"/>
  <c r="D162"/>
  <c r="E162"/>
  <c r="D182"/>
  <c r="D163"/>
  <c r="E163"/>
  <c r="D184"/>
  <c r="E169"/>
  <c r="D170"/>
  <c r="E171"/>
  <c r="D172"/>
  <c r="J158"/>
  <c r="G174"/>
  <c r="G176"/>
  <c r="G177"/>
  <c r="G179"/>
  <c r="I163"/>
  <c r="G181"/>
  <c r="G182"/>
  <c r="I166"/>
  <c r="G184"/>
  <c r="J174"/>
  <c r="J176"/>
  <c r="I159"/>
  <c r="J177"/>
  <c r="J161"/>
  <c r="J179"/>
  <c r="J181"/>
  <c r="J182"/>
  <c r="J166"/>
  <c r="J184"/>
  <c r="M174"/>
  <c r="M176"/>
  <c r="J159"/>
  <c r="M177"/>
  <c r="M179"/>
  <c r="J163"/>
  <c r="M181"/>
  <c r="J164"/>
  <c r="M182"/>
  <c r="M184"/>
  <c r="N188"/>
  <c r="E176"/>
  <c r="E177"/>
  <c r="E179"/>
  <c r="E181"/>
  <c r="E182"/>
  <c r="E184"/>
  <c r="F176"/>
  <c r="F177"/>
  <c r="F179"/>
  <c r="F181"/>
  <c r="F182"/>
  <c r="F184"/>
  <c r="H176"/>
  <c r="H177"/>
  <c r="H179"/>
  <c r="H181"/>
  <c r="H182"/>
  <c r="H184"/>
  <c r="I176"/>
  <c r="I177"/>
  <c r="I179"/>
  <c r="I181"/>
  <c r="I182"/>
  <c r="I184"/>
  <c r="K176"/>
  <c r="K177"/>
  <c r="K179"/>
  <c r="K181"/>
  <c r="K182"/>
  <c r="K184"/>
  <c r="L176"/>
  <c r="L177"/>
  <c r="L179"/>
  <c r="L181"/>
  <c r="L182"/>
  <c r="L184"/>
  <c r="N176"/>
  <c r="N177"/>
  <c r="N179"/>
  <c r="N181"/>
  <c r="N182"/>
  <c r="N184"/>
  <c r="O176"/>
  <c r="O177"/>
  <c r="O179"/>
  <c r="O181"/>
  <c r="O182"/>
  <c r="O184"/>
  <c r="N189"/>
  <c r="N190"/>
  <c r="N191"/>
  <c r="C188"/>
  <c r="C189"/>
  <c r="C190"/>
  <c r="C191"/>
  <c r="I197"/>
  <c r="D197"/>
  <c r="D213"/>
  <c r="E197"/>
  <c r="D215"/>
  <c r="D198"/>
  <c r="E198"/>
  <c r="D216"/>
  <c r="I200"/>
  <c r="D199"/>
  <c r="E199"/>
  <c r="D218"/>
  <c r="D200"/>
  <c r="E200"/>
  <c r="D220"/>
  <c r="I203"/>
  <c r="D201"/>
  <c r="E201"/>
  <c r="D221"/>
  <c r="D202"/>
  <c r="E202"/>
  <c r="D223"/>
  <c r="E208"/>
  <c r="D209"/>
  <c r="E210"/>
  <c r="D211"/>
  <c r="J197"/>
  <c r="G213"/>
  <c r="G215"/>
  <c r="G216"/>
  <c r="G218"/>
  <c r="I202"/>
  <c r="G220"/>
  <c r="G221"/>
  <c r="I205"/>
  <c r="G223"/>
  <c r="J213"/>
  <c r="J215"/>
  <c r="I198"/>
  <c r="J216"/>
  <c r="J200"/>
  <c r="J218"/>
  <c r="J220"/>
  <c r="J221"/>
  <c r="J205"/>
  <c r="J223"/>
  <c r="M213"/>
  <c r="M215"/>
  <c r="J198"/>
  <c r="M216"/>
  <c r="M218"/>
  <c r="J202"/>
  <c r="M220"/>
  <c r="J203"/>
  <c r="M221"/>
  <c r="M223"/>
  <c r="N227"/>
  <c r="E215"/>
  <c r="E216"/>
  <c r="E218"/>
  <c r="E220"/>
  <c r="E221"/>
  <c r="E223"/>
  <c r="F215"/>
  <c r="F216"/>
  <c r="F218"/>
  <c r="F220"/>
  <c r="F221"/>
  <c r="F223"/>
  <c r="H215"/>
  <c r="H216"/>
  <c r="H218"/>
  <c r="H220"/>
  <c r="H221"/>
  <c r="H223"/>
  <c r="I215"/>
  <c r="I216"/>
  <c r="I218"/>
  <c r="I220"/>
  <c r="I221"/>
  <c r="I223"/>
  <c r="K215"/>
  <c r="K216"/>
  <c r="K218"/>
  <c r="K220"/>
  <c r="K221"/>
  <c r="K223"/>
  <c r="L215"/>
  <c r="L216"/>
  <c r="L218"/>
  <c r="L220"/>
  <c r="L221"/>
  <c r="L223"/>
  <c r="N215"/>
  <c r="N216"/>
  <c r="N218"/>
  <c r="N220"/>
  <c r="N221"/>
  <c r="N223"/>
  <c r="O215"/>
  <c r="O216"/>
  <c r="O218"/>
  <c r="O220"/>
  <c r="O221"/>
  <c r="O223"/>
  <c r="N228"/>
  <c r="N229"/>
  <c r="N230"/>
  <c r="C227"/>
  <c r="C228"/>
  <c r="C229"/>
  <c r="C230"/>
  <c r="I236"/>
  <c r="D236"/>
  <c r="D252"/>
  <c r="E236"/>
  <c r="D254"/>
  <c r="D237"/>
  <c r="E237"/>
  <c r="D255"/>
  <c r="I239"/>
  <c r="D238"/>
  <c r="E238"/>
  <c r="D257"/>
  <c r="D239"/>
  <c r="E239"/>
  <c r="D259"/>
  <c r="I242"/>
  <c r="D240"/>
  <c r="E240"/>
  <c r="D260"/>
  <c r="D241"/>
  <c r="E241"/>
  <c r="D262"/>
  <c r="E247"/>
  <c r="D248"/>
  <c r="E249"/>
  <c r="D250"/>
  <c r="J236"/>
  <c r="G252"/>
  <c r="G254"/>
  <c r="G255"/>
  <c r="G257"/>
  <c r="I241"/>
  <c r="G259"/>
  <c r="G260"/>
  <c r="I244"/>
  <c r="G262"/>
  <c r="J252"/>
  <c r="J254"/>
  <c r="I237"/>
  <c r="J255"/>
  <c r="J239"/>
  <c r="J257"/>
  <c r="J259"/>
  <c r="J260"/>
  <c r="J244"/>
  <c r="J262"/>
  <c r="M252"/>
  <c r="M254"/>
  <c r="J237"/>
  <c r="M255"/>
  <c r="M257"/>
  <c r="J241"/>
  <c r="M259"/>
  <c r="J242"/>
  <c r="M260"/>
  <c r="M262"/>
  <c r="N266"/>
  <c r="E254"/>
  <c r="E255"/>
  <c r="E257"/>
  <c r="E259"/>
  <c r="E260"/>
  <c r="E262"/>
  <c r="F254"/>
  <c r="F255"/>
  <c r="F257"/>
  <c r="F259"/>
  <c r="F260"/>
  <c r="F262"/>
  <c r="H254"/>
  <c r="H255"/>
  <c r="H257"/>
  <c r="H259"/>
  <c r="H260"/>
  <c r="H262"/>
  <c r="I254"/>
  <c r="I255"/>
  <c r="I257"/>
  <c r="I259"/>
  <c r="I260"/>
  <c r="I262"/>
  <c r="K254"/>
  <c r="K255"/>
  <c r="K257"/>
  <c r="K259"/>
  <c r="K260"/>
  <c r="K262"/>
  <c r="L254"/>
  <c r="L255"/>
  <c r="L257"/>
  <c r="L259"/>
  <c r="L260"/>
  <c r="L262"/>
  <c r="N254"/>
  <c r="N255"/>
  <c r="N257"/>
  <c r="N259"/>
  <c r="N260"/>
  <c r="N262"/>
  <c r="O254"/>
  <c r="O255"/>
  <c r="O257"/>
  <c r="O259"/>
  <c r="O260"/>
  <c r="O262"/>
  <c r="N267"/>
  <c r="N268"/>
  <c r="N269"/>
  <c r="N270"/>
  <c r="C266"/>
  <c r="C267"/>
  <c r="C268"/>
  <c r="C269"/>
  <c r="I275"/>
  <c r="D275"/>
  <c r="D291"/>
  <c r="E275"/>
  <c r="D293"/>
  <c r="D276"/>
  <c r="E276"/>
  <c r="D294"/>
  <c r="I278"/>
  <c r="D277"/>
  <c r="E277"/>
  <c r="D296"/>
  <c r="D278"/>
  <c r="E278"/>
  <c r="D298"/>
  <c r="I281"/>
  <c r="D279"/>
  <c r="E279"/>
  <c r="D299"/>
  <c r="D280"/>
  <c r="E280"/>
  <c r="D301"/>
  <c r="E286"/>
  <c r="D287"/>
  <c r="E288"/>
  <c r="D289"/>
  <c r="J275"/>
  <c r="G291"/>
  <c r="G293"/>
  <c r="G294"/>
  <c r="G296"/>
  <c r="I280"/>
  <c r="G298"/>
  <c r="G299"/>
  <c r="I283"/>
  <c r="G301"/>
  <c r="J291"/>
  <c r="J293"/>
  <c r="I276"/>
  <c r="J294"/>
  <c r="J278"/>
  <c r="J296"/>
  <c r="J298"/>
  <c r="J299"/>
  <c r="J283"/>
  <c r="J301"/>
  <c r="M291"/>
  <c r="M293"/>
  <c r="J276"/>
  <c r="M294"/>
  <c r="M296"/>
  <c r="J280"/>
  <c r="M298"/>
  <c r="J281"/>
  <c r="M299"/>
  <c r="M301"/>
  <c r="N305"/>
  <c r="E293"/>
  <c r="E294"/>
  <c r="E296"/>
  <c r="E298"/>
  <c r="E299"/>
  <c r="E301"/>
  <c r="F293"/>
  <c r="F294"/>
  <c r="F296"/>
  <c r="F298"/>
  <c r="F299"/>
  <c r="F301"/>
  <c r="H293"/>
  <c r="H294"/>
  <c r="H296"/>
  <c r="H298"/>
  <c r="H299"/>
  <c r="H301"/>
  <c r="I293"/>
  <c r="I294"/>
  <c r="I296"/>
  <c r="I298"/>
  <c r="I299"/>
  <c r="I301"/>
  <c r="K293"/>
  <c r="K294"/>
  <c r="K296"/>
  <c r="K298"/>
  <c r="K299"/>
  <c r="K301"/>
  <c r="L293"/>
  <c r="L294"/>
  <c r="L296"/>
  <c r="L298"/>
  <c r="L299"/>
  <c r="L301"/>
  <c r="N293"/>
  <c r="N294"/>
  <c r="N296"/>
  <c r="N298"/>
  <c r="N299"/>
  <c r="N301"/>
  <c r="O293"/>
  <c r="O294"/>
  <c r="O296"/>
  <c r="O298"/>
  <c r="O299"/>
  <c r="O301"/>
  <c r="N306"/>
  <c r="N307"/>
  <c r="N308"/>
  <c r="N309"/>
  <c r="C305"/>
  <c r="C306"/>
  <c r="C307"/>
  <c r="C308"/>
  <c r="I322"/>
  <c r="I321"/>
  <c r="I338"/>
  <c r="I335"/>
  <c r="I332"/>
  <c r="I331"/>
  <c r="I328"/>
  <c r="I327"/>
  <c r="I326"/>
  <c r="I325"/>
  <c r="BD10"/>
  <c r="BD11"/>
  <c r="BD18"/>
  <c r="BD12"/>
  <c r="BD13"/>
  <c r="BD14"/>
  <c r="BD15"/>
  <c r="BD16"/>
  <c r="BD17"/>
  <c r="H17" i="12"/>
  <c r="G9"/>
  <c r="G25"/>
  <c r="E325" i="3"/>
  <c r="E326"/>
  <c r="D325"/>
  <c r="D326"/>
  <c r="AR10"/>
  <c r="AR11"/>
  <c r="AR12"/>
  <c r="M6"/>
  <c r="M5"/>
  <c r="AS6"/>
  <c r="M7"/>
  <c r="AS7"/>
  <c r="AT6"/>
  <c r="E317"/>
  <c r="J2"/>
  <c r="I2"/>
  <c r="AI8"/>
  <c r="AJ8"/>
  <c r="AI9"/>
  <c r="AJ9"/>
  <c r="AG8"/>
  <c r="AG5"/>
  <c r="AG9"/>
  <c r="AG10"/>
  <c r="AG6"/>
  <c r="AG12"/>
  <c r="AH8"/>
  <c r="AH5"/>
  <c r="AH9"/>
  <c r="AH10"/>
  <c r="AH6"/>
  <c r="AH12"/>
  <c r="AO10"/>
  <c r="AP10"/>
  <c r="I40"/>
  <c r="D53"/>
  <c r="E54"/>
  <c r="D55"/>
  <c r="E56"/>
  <c r="J40"/>
  <c r="E76"/>
  <c r="J79"/>
  <c r="D92"/>
  <c r="E93"/>
  <c r="D94"/>
  <c r="I79"/>
  <c r="E95"/>
  <c r="E115"/>
  <c r="N115"/>
  <c r="I118"/>
  <c r="D131"/>
  <c r="E132"/>
  <c r="D133"/>
  <c r="E134"/>
  <c r="J118"/>
  <c r="E154"/>
  <c r="D169"/>
  <c r="E170"/>
  <c r="D171"/>
  <c r="E172"/>
  <c r="E192"/>
  <c r="N192"/>
  <c r="C192"/>
  <c r="P174"/>
  <c r="P185"/>
  <c r="P184"/>
  <c r="P183"/>
  <c r="P182"/>
  <c r="P181"/>
  <c r="P180"/>
  <c r="P179"/>
  <c r="P178"/>
  <c r="P177"/>
  <c r="P176"/>
  <c r="K192"/>
  <c r="D208"/>
  <c r="E209"/>
  <c r="D210"/>
  <c r="E211"/>
  <c r="I195"/>
  <c r="E231"/>
  <c r="N231"/>
  <c r="C231"/>
  <c r="P213"/>
  <c r="P224"/>
  <c r="P223"/>
  <c r="P222"/>
  <c r="P221"/>
  <c r="P220"/>
  <c r="P219"/>
  <c r="P218"/>
  <c r="P217"/>
  <c r="P216"/>
  <c r="P215"/>
  <c r="K231"/>
  <c r="D247"/>
  <c r="D256"/>
  <c r="E248"/>
  <c r="D258"/>
  <c r="D249"/>
  <c r="D261"/>
  <c r="E250"/>
  <c r="D263"/>
  <c r="E270"/>
  <c r="C270"/>
  <c r="P252"/>
  <c r="P263"/>
  <c r="P262"/>
  <c r="P261"/>
  <c r="P260"/>
  <c r="P259"/>
  <c r="P258"/>
  <c r="P257"/>
  <c r="P256"/>
  <c r="P255"/>
  <c r="P254"/>
  <c r="K270"/>
  <c r="D286"/>
  <c r="D295"/>
  <c r="E287"/>
  <c r="D297"/>
  <c r="D288"/>
  <c r="D300"/>
  <c r="I273"/>
  <c r="E289"/>
  <c r="D302"/>
  <c r="E309"/>
  <c r="C309"/>
  <c r="P291"/>
  <c r="P302"/>
  <c r="P301"/>
  <c r="P300"/>
  <c r="P299"/>
  <c r="P298"/>
  <c r="P297"/>
  <c r="P296"/>
  <c r="P295"/>
  <c r="P294"/>
  <c r="P293"/>
  <c r="K309"/>
  <c r="S5"/>
  <c r="AX5"/>
  <c r="S6"/>
  <c r="AX6"/>
  <c r="S7"/>
  <c r="AX7"/>
  <c r="S8"/>
  <c r="AX8"/>
  <c r="B27" i="12"/>
  <c r="D5"/>
  <c r="AC9" i="3"/>
  <c r="AD9"/>
  <c r="AT5"/>
  <c r="AT7"/>
  <c r="O33"/>
  <c r="O36"/>
  <c r="O35"/>
  <c r="X7"/>
  <c r="AV7"/>
  <c r="R7"/>
  <c r="AW7"/>
  <c r="M343"/>
  <c r="AT8"/>
  <c r="X8"/>
  <c r="AV8"/>
  <c r="R8"/>
  <c r="AW8"/>
  <c r="X5"/>
  <c r="AV5"/>
  <c r="R5"/>
  <c r="AW5"/>
  <c r="O343"/>
  <c r="D315"/>
  <c r="D327"/>
  <c r="D328"/>
  <c r="S343"/>
  <c r="E327"/>
  <c r="E328"/>
  <c r="T343"/>
  <c r="D332"/>
  <c r="D331"/>
  <c r="U343"/>
  <c r="E331"/>
  <c r="E332"/>
  <c r="V343"/>
  <c r="D335"/>
  <c r="W343"/>
  <c r="E335"/>
  <c r="X343"/>
  <c r="D338"/>
  <c r="Y343"/>
  <c r="E338"/>
  <c r="Z343"/>
  <c r="M344"/>
  <c r="O34"/>
  <c r="X6"/>
  <c r="AV6"/>
  <c r="R6"/>
  <c r="AW6"/>
  <c r="O344"/>
  <c r="S344"/>
  <c r="T344"/>
  <c r="U344"/>
  <c r="V344"/>
  <c r="W344"/>
  <c r="X344"/>
  <c r="Y344"/>
  <c r="Z344"/>
  <c r="M345"/>
  <c r="O345"/>
  <c r="S345"/>
  <c r="T345"/>
  <c r="U345"/>
  <c r="V345"/>
  <c r="W345"/>
  <c r="X345"/>
  <c r="Y345"/>
  <c r="Z345"/>
  <c r="M346"/>
  <c r="O346"/>
  <c r="S346"/>
  <c r="T346"/>
  <c r="U346"/>
  <c r="V346"/>
  <c r="W346"/>
  <c r="X346"/>
  <c r="Y346"/>
  <c r="Z346"/>
  <c r="O72"/>
  <c r="M347"/>
  <c r="O73"/>
  <c r="S347"/>
  <c r="T347"/>
  <c r="U347"/>
  <c r="V347"/>
  <c r="W347"/>
  <c r="X347"/>
  <c r="Y347"/>
  <c r="Z347"/>
  <c r="O75"/>
  <c r="M348"/>
  <c r="O74"/>
  <c r="S348"/>
  <c r="T348"/>
  <c r="U348"/>
  <c r="V348"/>
  <c r="W348"/>
  <c r="X348"/>
  <c r="Y348"/>
  <c r="Z348"/>
  <c r="M349"/>
  <c r="S349"/>
  <c r="T349"/>
  <c r="U349"/>
  <c r="V349"/>
  <c r="W349"/>
  <c r="X349"/>
  <c r="Y349"/>
  <c r="Z349"/>
  <c r="M350"/>
  <c r="S350"/>
  <c r="T350"/>
  <c r="U350"/>
  <c r="V350"/>
  <c r="W350"/>
  <c r="X350"/>
  <c r="Y350"/>
  <c r="Z350"/>
  <c r="O111"/>
  <c r="O112"/>
  <c r="M351"/>
  <c r="O113"/>
  <c r="S351"/>
  <c r="T351"/>
  <c r="U351"/>
  <c r="V351"/>
  <c r="W351"/>
  <c r="X351"/>
  <c r="Y351"/>
  <c r="Z351"/>
  <c r="M352"/>
  <c r="O114"/>
  <c r="S352"/>
  <c r="T352"/>
  <c r="U352"/>
  <c r="V352"/>
  <c r="W352"/>
  <c r="X352"/>
  <c r="Y352"/>
  <c r="Z352"/>
  <c r="M353"/>
  <c r="S353"/>
  <c r="T353"/>
  <c r="U353"/>
  <c r="V353"/>
  <c r="W353"/>
  <c r="X353"/>
  <c r="Y353"/>
  <c r="Z353"/>
  <c r="M354"/>
  <c r="S354"/>
  <c r="T354"/>
  <c r="U354"/>
  <c r="V354"/>
  <c r="W354"/>
  <c r="X354"/>
  <c r="Y354"/>
  <c r="Z354"/>
  <c r="O150"/>
  <c r="O151"/>
  <c r="M355"/>
  <c r="S355"/>
  <c r="T355"/>
  <c r="U355"/>
  <c r="V355"/>
  <c r="W355"/>
  <c r="X355"/>
  <c r="Y355"/>
  <c r="Z355"/>
  <c r="O152"/>
  <c r="M356"/>
  <c r="O153"/>
  <c r="S356"/>
  <c r="T356"/>
  <c r="U356"/>
  <c r="V356"/>
  <c r="W356"/>
  <c r="X356"/>
  <c r="Y356"/>
  <c r="Z356"/>
  <c r="M357"/>
  <c r="S357"/>
  <c r="T357"/>
  <c r="U357"/>
  <c r="V357"/>
  <c r="W357"/>
  <c r="X357"/>
  <c r="Y357"/>
  <c r="Z357"/>
  <c r="M358"/>
  <c r="S358"/>
  <c r="T358"/>
  <c r="U358"/>
  <c r="V358"/>
  <c r="W358"/>
  <c r="X358"/>
  <c r="Y358"/>
  <c r="Z358"/>
  <c r="O188"/>
  <c r="O190"/>
  <c r="M359"/>
  <c r="O192"/>
  <c r="S359"/>
  <c r="T359"/>
  <c r="U359"/>
  <c r="V359"/>
  <c r="W359"/>
  <c r="X359"/>
  <c r="Y359"/>
  <c r="Z359"/>
  <c r="O189"/>
  <c r="M360"/>
  <c r="O191"/>
  <c r="S360"/>
  <c r="T360"/>
  <c r="U360"/>
  <c r="V360"/>
  <c r="W360"/>
  <c r="X360"/>
  <c r="Y360"/>
  <c r="Z360"/>
  <c r="M361"/>
  <c r="S361"/>
  <c r="T361"/>
  <c r="U361"/>
  <c r="V361"/>
  <c r="W361"/>
  <c r="X361"/>
  <c r="Y361"/>
  <c r="Z361"/>
  <c r="M362"/>
  <c r="S362"/>
  <c r="T362"/>
  <c r="U362"/>
  <c r="V362"/>
  <c r="W362"/>
  <c r="X362"/>
  <c r="Y362"/>
  <c r="Z362"/>
  <c r="O227"/>
  <c r="O230"/>
  <c r="M363"/>
  <c r="O228"/>
  <c r="S363"/>
  <c r="T363"/>
  <c r="U363"/>
  <c r="V363"/>
  <c r="W363"/>
  <c r="X363"/>
  <c r="Y363"/>
  <c r="Z363"/>
  <c r="M364"/>
  <c r="O229"/>
  <c r="S364"/>
  <c r="T364"/>
  <c r="U364"/>
  <c r="V364"/>
  <c r="W364"/>
  <c r="X364"/>
  <c r="Y364"/>
  <c r="Z364"/>
  <c r="O231"/>
  <c r="M365"/>
  <c r="S365"/>
  <c r="T365"/>
  <c r="U365"/>
  <c r="V365"/>
  <c r="W365"/>
  <c r="X365"/>
  <c r="Y365"/>
  <c r="Z365"/>
  <c r="M366"/>
  <c r="S366"/>
  <c r="T366"/>
  <c r="U366"/>
  <c r="V366"/>
  <c r="W366"/>
  <c r="X366"/>
  <c r="Y366"/>
  <c r="Z366"/>
  <c r="M367"/>
  <c r="O266"/>
  <c r="O269"/>
  <c r="O267"/>
  <c r="S367"/>
  <c r="T367"/>
  <c r="U367"/>
  <c r="V367"/>
  <c r="W367"/>
  <c r="X367"/>
  <c r="Y367"/>
  <c r="Z367"/>
  <c r="M368"/>
  <c r="O268"/>
  <c r="S368"/>
  <c r="T368"/>
  <c r="U368"/>
  <c r="V368"/>
  <c r="W368"/>
  <c r="X368"/>
  <c r="Y368"/>
  <c r="Z368"/>
  <c r="O270"/>
  <c r="M369"/>
  <c r="S369"/>
  <c r="T369"/>
  <c r="U369"/>
  <c r="V369"/>
  <c r="W369"/>
  <c r="X369"/>
  <c r="Y369"/>
  <c r="Z369"/>
  <c r="M370"/>
  <c r="S370"/>
  <c r="T370"/>
  <c r="U370"/>
  <c r="V370"/>
  <c r="W370"/>
  <c r="X370"/>
  <c r="Y370"/>
  <c r="Z370"/>
  <c r="O305"/>
  <c r="M371"/>
  <c r="O306"/>
  <c r="O308"/>
  <c r="S371"/>
  <c r="T371"/>
  <c r="U371"/>
  <c r="V371"/>
  <c r="W371"/>
  <c r="X371"/>
  <c r="Y371"/>
  <c r="Z371"/>
  <c r="O309"/>
  <c r="O307"/>
  <c r="M372"/>
  <c r="S372"/>
  <c r="T372"/>
  <c r="U372"/>
  <c r="V372"/>
  <c r="W372"/>
  <c r="X372"/>
  <c r="Y372"/>
  <c r="Z372"/>
  <c r="M373"/>
  <c r="S373"/>
  <c r="T373"/>
  <c r="U373"/>
  <c r="V373"/>
  <c r="W373"/>
  <c r="X373"/>
  <c r="Y373"/>
  <c r="Z373"/>
  <c r="M374"/>
  <c r="S374"/>
  <c r="T374"/>
  <c r="U374"/>
  <c r="V374"/>
  <c r="W374"/>
  <c r="X374"/>
  <c r="Y374"/>
  <c r="Z374"/>
  <c r="X3" i="11" a="1"/>
  <c r="X3"/>
  <c r="Z3"/>
  <c r="F17" i="12"/>
  <c r="E18"/>
  <c r="E16"/>
  <c r="F18"/>
  <c r="K341" i="3"/>
  <c r="H341"/>
  <c r="J17" i="12"/>
  <c r="F16"/>
  <c r="H9"/>
  <c r="H25"/>
  <c r="F29"/>
  <c r="F21"/>
  <c r="F25"/>
  <c r="F9"/>
  <c r="F5"/>
  <c r="F13"/>
  <c r="D31"/>
  <c r="D29"/>
  <c r="D27"/>
  <c r="D15"/>
  <c r="D13"/>
  <c r="D11"/>
  <c r="D21"/>
  <c r="D23"/>
  <c r="D19"/>
  <c r="D7"/>
  <c r="D3"/>
  <c r="B31"/>
  <c r="B15"/>
  <c r="B11"/>
  <c r="B23"/>
  <c r="B20"/>
  <c r="B19"/>
  <c r="B7"/>
  <c r="B3"/>
  <c r="B2"/>
  <c r="B3" i="11"/>
  <c r="B1"/>
  <c r="K22" i="6"/>
  <c r="L22"/>
  <c r="M22"/>
  <c r="N22"/>
  <c r="O22"/>
  <c r="K21"/>
  <c r="L21"/>
  <c r="M21"/>
  <c r="N21"/>
  <c r="O21"/>
  <c r="I22"/>
  <c r="K23"/>
  <c r="L23"/>
  <c r="M23"/>
  <c r="N23"/>
  <c r="O23"/>
  <c r="I23"/>
  <c r="K24"/>
  <c r="L24"/>
  <c r="M24"/>
  <c r="N24"/>
  <c r="O24"/>
  <c r="I24"/>
  <c r="K25"/>
  <c r="L25"/>
  <c r="M25"/>
  <c r="N25"/>
  <c r="O25"/>
  <c r="I25"/>
  <c r="K26"/>
  <c r="L26"/>
  <c r="M26"/>
  <c r="N26"/>
  <c r="O26"/>
  <c r="I26"/>
  <c r="K10"/>
  <c r="L10"/>
  <c r="M10"/>
  <c r="N10"/>
  <c r="O10"/>
  <c r="S30" a="1"/>
  <c r="S30"/>
  <c r="T5" i="3"/>
  <c r="AY5"/>
  <c r="T6"/>
  <c r="AY6"/>
  <c r="T7"/>
  <c r="AY7"/>
  <c r="T8"/>
  <c r="AY8"/>
  <c r="C11" i="11" a="1"/>
  <c r="C11"/>
  <c r="D11"/>
  <c r="C17" a="1"/>
  <c r="C17"/>
  <c r="D17"/>
  <c r="C19" a="1"/>
  <c r="C19"/>
  <c r="D19"/>
  <c r="C27" a="1"/>
  <c r="C27"/>
  <c r="D27"/>
  <c r="C32" a="1"/>
  <c r="C32"/>
  <c r="D32"/>
  <c r="C40" a="1"/>
  <c r="C40"/>
  <c r="D40"/>
  <c r="C42" a="1"/>
  <c r="C42"/>
  <c r="D42"/>
  <c r="C46" a="1"/>
  <c r="C46"/>
  <c r="D46"/>
  <c r="C29" a="1"/>
  <c r="C29"/>
  <c r="D29"/>
  <c r="C37" a="1"/>
  <c r="C37"/>
  <c r="D37"/>
  <c r="C38" a="1"/>
  <c r="C38"/>
  <c r="D38"/>
  <c r="C5" a="1"/>
  <c r="C5"/>
  <c r="D5"/>
  <c r="C6" a="1"/>
  <c r="C6"/>
  <c r="D6"/>
  <c r="C7" a="1"/>
  <c r="C7"/>
  <c r="D7"/>
  <c r="C10" a="1"/>
  <c r="C10"/>
  <c r="D10"/>
  <c r="C16" a="1"/>
  <c r="C16"/>
  <c r="D16"/>
  <c r="C22" a="1"/>
  <c r="C22"/>
  <c r="D22"/>
  <c r="C26" a="1"/>
  <c r="C26"/>
  <c r="D26"/>
  <c r="C39" a="1"/>
  <c r="C39"/>
  <c r="D39"/>
  <c r="C41" a="1"/>
  <c r="C41"/>
  <c r="D41"/>
  <c r="C44" a="1"/>
  <c r="C44"/>
  <c r="D44"/>
  <c r="C45" a="1"/>
  <c r="C45"/>
  <c r="D45"/>
  <c r="C47" a="1"/>
  <c r="C47"/>
  <c r="D47"/>
  <c r="C9" a="1"/>
  <c r="C9"/>
  <c r="D9"/>
  <c r="C13" a="1"/>
  <c r="C13"/>
  <c r="D13"/>
  <c r="C14" a="1"/>
  <c r="C14"/>
  <c r="D14"/>
  <c r="C21" a="1"/>
  <c r="C21"/>
  <c r="D21"/>
  <c r="C24" a="1"/>
  <c r="C24"/>
  <c r="D24"/>
  <c r="C25" a="1"/>
  <c r="C25"/>
  <c r="D25"/>
  <c r="C28" a="1"/>
  <c r="C28"/>
  <c r="D28"/>
  <c r="C43" a="1"/>
  <c r="C43"/>
  <c r="D43"/>
  <c r="C36" a="1"/>
  <c r="C36"/>
  <c r="D36"/>
  <c r="C4" a="1"/>
  <c r="C4"/>
  <c r="D4"/>
  <c r="C8" a="1"/>
  <c r="C8"/>
  <c r="D8"/>
  <c r="C12" a="1"/>
  <c r="C12"/>
  <c r="D12"/>
  <c r="C15" a="1"/>
  <c r="C15"/>
  <c r="D15"/>
  <c r="C18" a="1"/>
  <c r="C18"/>
  <c r="D18"/>
  <c r="C20" a="1"/>
  <c r="C20"/>
  <c r="D20"/>
  <c r="C23" a="1"/>
  <c r="C23"/>
  <c r="D23"/>
  <c r="C30" a="1"/>
  <c r="C30"/>
  <c r="D30"/>
  <c r="C31" a="1"/>
  <c r="C31"/>
  <c r="D31"/>
  <c r="C33" a="1"/>
  <c r="C33"/>
  <c r="D33"/>
  <c r="C34" a="1"/>
  <c r="C34"/>
  <c r="D34"/>
  <c r="C35" a="1"/>
  <c r="C35"/>
  <c r="D35"/>
  <c r="C48" a="1"/>
  <c r="C48"/>
  <c r="D48"/>
  <c r="AH4" i="8"/>
  <c r="AJ80" a="1"/>
  <c r="AJ80"/>
  <c r="AJ81" a="1"/>
  <c r="AJ81"/>
  <c r="AJ82" a="1"/>
  <c r="AJ82"/>
  <c r="AJ83" a="1"/>
  <c r="AJ83"/>
  <c r="AJ84" a="1"/>
  <c r="AJ84"/>
  <c r="AJ85" a="1"/>
  <c r="AJ85"/>
  <c r="AJ86" a="1"/>
  <c r="AJ86"/>
  <c r="T30" i="6" a="1"/>
  <c r="T30"/>
  <c r="Z6" i="11"/>
  <c r="Z5"/>
  <c r="AI7" i="3"/>
  <c r="AJ7"/>
  <c r="AG7"/>
  <c r="AH7"/>
  <c r="AM10"/>
  <c r="AM6"/>
  <c r="AM5"/>
  <c r="AM8"/>
  <c r="AM9"/>
  <c r="AM12"/>
  <c r="AN10"/>
  <c r="AN6"/>
  <c r="AN5"/>
  <c r="AN8"/>
  <c r="AN9"/>
  <c r="AN12"/>
  <c r="J273"/>
  <c r="M305"/>
  <c r="M309"/>
  <c r="AC6"/>
  <c r="AD6"/>
  <c r="AC7"/>
  <c r="AD7"/>
  <c r="AI81" i="8" a="1"/>
  <c r="AI81"/>
  <c r="AI82" a="1"/>
  <c r="AI82"/>
  <c r="N5" i="6"/>
  <c r="M5"/>
  <c r="K5"/>
  <c r="L5"/>
  <c r="O5"/>
  <c r="N4"/>
  <c r="M4"/>
  <c r="K4"/>
  <c r="L4"/>
  <c r="O4"/>
  <c r="I5"/>
  <c r="N6"/>
  <c r="M6"/>
  <c r="K6"/>
  <c r="L6"/>
  <c r="O6"/>
  <c r="I6"/>
  <c r="N7"/>
  <c r="M7"/>
  <c r="K7"/>
  <c r="L7"/>
  <c r="O7"/>
  <c r="I7"/>
  <c r="N8"/>
  <c r="M8"/>
  <c r="K8"/>
  <c r="L8"/>
  <c r="O8"/>
  <c r="I8"/>
  <c r="N9"/>
  <c r="M9"/>
  <c r="K9"/>
  <c r="L9"/>
  <c r="O9"/>
  <c r="I9"/>
  <c r="N11"/>
  <c r="M11"/>
  <c r="K11"/>
  <c r="L11"/>
  <c r="O11"/>
  <c r="I10"/>
  <c r="N12"/>
  <c r="M12"/>
  <c r="K12"/>
  <c r="L12"/>
  <c r="O12"/>
  <c r="I11"/>
  <c r="N13"/>
  <c r="M13"/>
  <c r="K13"/>
  <c r="L13"/>
  <c r="O13"/>
  <c r="I12"/>
  <c r="N14"/>
  <c r="M14"/>
  <c r="K14"/>
  <c r="L14"/>
  <c r="O14"/>
  <c r="I13"/>
  <c r="N15"/>
  <c r="M15"/>
  <c r="K15"/>
  <c r="L15"/>
  <c r="O15"/>
  <c r="I14"/>
  <c r="N16"/>
  <c r="M16"/>
  <c r="K16"/>
  <c r="L16"/>
  <c r="O16"/>
  <c r="I15"/>
  <c r="N17"/>
  <c r="M17"/>
  <c r="K17"/>
  <c r="L17"/>
  <c r="O17"/>
  <c r="I16"/>
  <c r="N18"/>
  <c r="M18"/>
  <c r="K18"/>
  <c r="L18"/>
  <c r="O18"/>
  <c r="I17"/>
  <c r="N19"/>
  <c r="M19"/>
  <c r="K19"/>
  <c r="L19"/>
  <c r="O19"/>
  <c r="I18"/>
  <c r="N20"/>
  <c r="M20"/>
  <c r="K20"/>
  <c r="L20"/>
  <c r="O20"/>
  <c r="I19"/>
  <c r="I20"/>
  <c r="I21"/>
  <c r="N3"/>
  <c r="M3"/>
  <c r="K3"/>
  <c r="L3"/>
  <c r="O3"/>
  <c r="I4"/>
  <c r="J5" i="3"/>
  <c r="I12"/>
  <c r="I7"/>
  <c r="I3" i="6"/>
  <c r="O31"/>
  <c r="P10" i="3"/>
  <c r="AA5"/>
  <c r="AA7"/>
  <c r="AA9"/>
  <c r="AA10"/>
  <c r="AA6"/>
  <c r="AA12"/>
  <c r="AB5"/>
  <c r="AB7"/>
  <c r="AB9"/>
  <c r="AB10"/>
  <c r="AB6"/>
  <c r="AB12"/>
  <c r="P19"/>
  <c r="P21"/>
  <c r="J12"/>
  <c r="P30"/>
  <c r="P29"/>
  <c r="I10"/>
  <c r="P28"/>
  <c r="P27"/>
  <c r="P26"/>
  <c r="J7"/>
  <c r="P25"/>
  <c r="P24"/>
  <c r="I5"/>
  <c r="P23"/>
  <c r="P22"/>
  <c r="K37"/>
  <c r="N5"/>
  <c r="L33"/>
  <c r="L34"/>
  <c r="L35"/>
  <c r="L36"/>
  <c r="U5"/>
  <c r="M33"/>
  <c r="M34"/>
  <c r="M35"/>
  <c r="M36"/>
  <c r="V5"/>
  <c r="W5"/>
  <c r="AZ5"/>
  <c r="BA5"/>
  <c r="BB5"/>
  <c r="N6"/>
  <c r="U6"/>
  <c r="V6"/>
  <c r="W6"/>
  <c r="AZ6"/>
  <c r="BA6"/>
  <c r="BB6"/>
  <c r="N7"/>
  <c r="U7"/>
  <c r="V7"/>
  <c r="W7"/>
  <c r="AM7"/>
  <c r="AN7"/>
  <c r="AO7"/>
  <c r="AP7"/>
  <c r="AZ7"/>
  <c r="BA7"/>
  <c r="BB7"/>
  <c r="M8"/>
  <c r="N8"/>
  <c r="L37"/>
  <c r="U8"/>
  <c r="M37"/>
  <c r="V8"/>
  <c r="W8"/>
  <c r="AA8"/>
  <c r="AB8"/>
  <c r="AC8"/>
  <c r="AD8"/>
  <c r="AS8"/>
  <c r="AZ8"/>
  <c r="BA8"/>
  <c r="BB8"/>
  <c r="M9"/>
  <c r="J10"/>
  <c r="N14"/>
  <c r="C37"/>
  <c r="O14"/>
  <c r="P14"/>
  <c r="Q14"/>
  <c r="R14"/>
  <c r="S14"/>
  <c r="T14"/>
  <c r="U14"/>
  <c r="V14"/>
  <c r="W14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O37"/>
  <c r="AS40"/>
  <c r="I44"/>
  <c r="J44"/>
  <c r="N44"/>
  <c r="I46"/>
  <c r="J46"/>
  <c r="I49"/>
  <c r="J49"/>
  <c r="I51"/>
  <c r="J51"/>
  <c r="C76"/>
  <c r="P58"/>
  <c r="P69"/>
  <c r="P68"/>
  <c r="P67"/>
  <c r="P66"/>
  <c r="P65"/>
  <c r="P64"/>
  <c r="P63"/>
  <c r="P62"/>
  <c r="P61"/>
  <c r="P60"/>
  <c r="K76"/>
  <c r="L76"/>
  <c r="M76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O76"/>
  <c r="A80"/>
  <c r="I83"/>
  <c r="J83"/>
  <c r="N83"/>
  <c r="I85"/>
  <c r="J85"/>
  <c r="I88"/>
  <c r="J88"/>
  <c r="I90"/>
  <c r="J90"/>
  <c r="C115"/>
  <c r="P97"/>
  <c r="P108"/>
  <c r="P107"/>
  <c r="P106"/>
  <c r="P105"/>
  <c r="P104"/>
  <c r="P103"/>
  <c r="P102"/>
  <c r="P101"/>
  <c r="P100"/>
  <c r="P99"/>
  <c r="K115"/>
  <c r="L115"/>
  <c r="M115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O115"/>
  <c r="I122"/>
  <c r="J122"/>
  <c r="N122"/>
  <c r="I124"/>
  <c r="J124"/>
  <c r="I127"/>
  <c r="J127"/>
  <c r="I129"/>
  <c r="J129"/>
  <c r="C154"/>
  <c r="P136"/>
  <c r="P147"/>
  <c r="P146"/>
  <c r="P145"/>
  <c r="P144"/>
  <c r="P143"/>
  <c r="P142"/>
  <c r="P141"/>
  <c r="P140"/>
  <c r="P139"/>
  <c r="P138"/>
  <c r="K154"/>
  <c r="L154"/>
  <c r="M154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O154"/>
  <c r="I160"/>
  <c r="J160"/>
  <c r="N160"/>
  <c r="I162"/>
  <c r="J162"/>
  <c r="L192"/>
  <c r="M192"/>
  <c r="I165"/>
  <c r="J165"/>
  <c r="I167"/>
  <c r="J167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J195"/>
  <c r="I199"/>
  <c r="J199"/>
  <c r="N199"/>
  <c r="I201"/>
  <c r="J201"/>
  <c r="L231"/>
  <c r="M231"/>
  <c r="I204"/>
  <c r="J204"/>
  <c r="I206"/>
  <c r="J206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I234"/>
  <c r="J234"/>
  <c r="I238"/>
  <c r="J238"/>
  <c r="N238"/>
  <c r="L266"/>
  <c r="M266"/>
  <c r="I240"/>
  <c r="J240"/>
  <c r="L270"/>
  <c r="M270"/>
  <c r="I243"/>
  <c r="J243"/>
  <c r="I245"/>
  <c r="J245"/>
  <c r="Q254"/>
  <c r="R254"/>
  <c r="Q255"/>
  <c r="R255"/>
  <c r="Q256"/>
  <c r="R256"/>
  <c r="Q257"/>
  <c r="R257"/>
  <c r="Q258"/>
  <c r="R258"/>
  <c r="Q259"/>
  <c r="R259"/>
  <c r="Q260"/>
  <c r="R260"/>
  <c r="Q261"/>
  <c r="R261"/>
  <c r="Q262"/>
  <c r="R262"/>
  <c r="Q263"/>
  <c r="R263"/>
  <c r="I277"/>
  <c r="J277"/>
  <c r="N277"/>
  <c r="L305"/>
  <c r="I279"/>
  <c r="J279"/>
  <c r="L309"/>
  <c r="I282"/>
  <c r="J282"/>
  <c r="I284"/>
  <c r="J284"/>
  <c r="Q293"/>
  <c r="R293"/>
  <c r="Q294"/>
  <c r="R294"/>
  <c r="Q295"/>
  <c r="R295"/>
  <c r="Q296"/>
  <c r="R296"/>
  <c r="Q297"/>
  <c r="R297"/>
  <c r="Q298"/>
  <c r="R298"/>
  <c r="Q299"/>
  <c r="R299"/>
  <c r="Q300"/>
  <c r="R300"/>
  <c r="Q301"/>
  <c r="R301"/>
  <c r="Q302"/>
  <c r="R302"/>
  <c r="AI80" i="8" a="1"/>
  <c r="AI80"/>
  <c r="B106"/>
  <c r="B103"/>
  <c r="AJ5" a="1"/>
  <c r="AJ5"/>
  <c r="AJ6" a="1"/>
  <c r="AJ6"/>
  <c r="AJ7" a="1"/>
  <c r="AJ7"/>
  <c r="AJ8" a="1"/>
  <c r="AJ8"/>
  <c r="AJ9" a="1"/>
  <c r="AJ9"/>
  <c r="AJ10" a="1"/>
  <c r="AJ10"/>
  <c r="AJ11" a="1"/>
  <c r="AJ11"/>
  <c r="AJ12" a="1"/>
  <c r="AJ12"/>
  <c r="AJ13" a="1"/>
  <c r="AJ13"/>
  <c r="AJ14" a="1"/>
  <c r="AJ14"/>
  <c r="AJ15" a="1"/>
  <c r="AJ15"/>
  <c r="AJ16" a="1"/>
  <c r="AJ16"/>
  <c r="AJ17" a="1"/>
  <c r="AJ17"/>
  <c r="AJ18" a="1"/>
  <c r="AJ18"/>
  <c r="AJ19" a="1"/>
  <c r="AJ19"/>
  <c r="AJ20" a="1"/>
  <c r="AJ20"/>
  <c r="AJ21" a="1"/>
  <c r="AJ21"/>
  <c r="AJ22" a="1"/>
  <c r="AJ22"/>
  <c r="AJ23" a="1"/>
  <c r="AJ23"/>
  <c r="AJ24" a="1"/>
  <c r="AJ24"/>
  <c r="AJ25" a="1"/>
  <c r="AJ25"/>
  <c r="AJ26" a="1"/>
  <c r="AJ26"/>
  <c r="AJ27" a="1"/>
  <c r="AJ27"/>
  <c r="AJ28" a="1"/>
  <c r="AJ28"/>
  <c r="AJ29" a="1"/>
  <c r="AJ29"/>
  <c r="AJ30" a="1"/>
  <c r="AJ30"/>
  <c r="AJ31" a="1"/>
  <c r="AJ31"/>
  <c r="AJ32" a="1"/>
  <c r="AJ32"/>
  <c r="AJ33" a="1"/>
  <c r="AJ33"/>
  <c r="AJ34" a="1"/>
  <c r="AJ34"/>
  <c r="AJ35" a="1"/>
  <c r="AJ35"/>
  <c r="AJ36" a="1"/>
  <c r="AJ36"/>
  <c r="AJ37" a="1"/>
  <c r="AJ37"/>
  <c r="AJ38" a="1"/>
  <c r="AJ38"/>
  <c r="AJ39" a="1"/>
  <c r="AJ39"/>
  <c r="AJ40" a="1"/>
  <c r="AJ40"/>
  <c r="AJ41" a="1"/>
  <c r="AJ41"/>
  <c r="AJ42" a="1"/>
  <c r="AJ42"/>
  <c r="AJ43" a="1"/>
  <c r="AJ43"/>
  <c r="AJ44" a="1"/>
  <c r="AJ44"/>
  <c r="AJ45" a="1"/>
  <c r="AJ45"/>
  <c r="AJ46" a="1"/>
  <c r="AJ46"/>
  <c r="AJ47" a="1"/>
  <c r="AJ47"/>
  <c r="AJ48" a="1"/>
  <c r="AJ48"/>
  <c r="AJ49" a="1"/>
  <c r="AJ49"/>
  <c r="AJ50" a="1"/>
  <c r="AJ50"/>
  <c r="AJ51" a="1"/>
  <c r="AJ51"/>
  <c r="AJ52" a="1"/>
  <c r="AJ52"/>
  <c r="AJ53" a="1"/>
  <c r="AJ53"/>
  <c r="AJ54" a="1"/>
  <c r="AJ54"/>
  <c r="AJ55" a="1"/>
  <c r="AJ55"/>
  <c r="AJ56" a="1"/>
  <c r="AJ56"/>
  <c r="AJ57" a="1"/>
  <c r="AJ57"/>
  <c r="AJ58" a="1"/>
  <c r="AJ58"/>
  <c r="AJ59" a="1"/>
  <c r="AJ59"/>
  <c r="AJ60" a="1"/>
  <c r="AJ60"/>
  <c r="AJ61" a="1"/>
  <c r="AJ61"/>
  <c r="AJ62" a="1"/>
  <c r="AJ62"/>
  <c r="AJ63" a="1"/>
  <c r="AJ63"/>
  <c r="AJ64" a="1"/>
  <c r="AJ64"/>
  <c r="AJ65" a="1"/>
  <c r="AJ65"/>
  <c r="AJ66" a="1"/>
  <c r="AJ66"/>
  <c r="AJ67" a="1"/>
  <c r="AJ67"/>
  <c r="AJ68" a="1"/>
  <c r="AJ68"/>
  <c r="AJ69" a="1"/>
  <c r="AJ69"/>
  <c r="AJ70" a="1"/>
  <c r="AJ70"/>
  <c r="AJ71" a="1"/>
  <c r="AJ71"/>
  <c r="AJ72" a="1"/>
  <c r="AJ72"/>
  <c r="AJ73" a="1"/>
  <c r="AJ73"/>
  <c r="AJ74" a="1"/>
  <c r="AJ74"/>
  <c r="AJ75" a="1"/>
  <c r="AJ75"/>
  <c r="AJ76" a="1"/>
  <c r="AJ76"/>
  <c r="AJ77" a="1"/>
  <c r="AJ77"/>
  <c r="AJ78" a="1"/>
  <c r="AJ78"/>
  <c r="AJ79" a="1"/>
  <c r="AJ79"/>
  <c r="AJ4" a="1"/>
  <c r="AJ4"/>
  <c r="B107"/>
  <c r="AH3"/>
  <c r="AI5" a="1"/>
  <c r="AI5"/>
  <c r="AI6" a="1"/>
  <c r="AI6"/>
  <c r="AI7" a="1"/>
  <c r="AI7"/>
  <c r="AI8" a="1"/>
  <c r="AI8"/>
  <c r="AI9" a="1"/>
  <c r="AI9"/>
  <c r="AI10" a="1"/>
  <c r="AI10"/>
  <c r="AI11" a="1"/>
  <c r="AI11"/>
  <c r="AI12" a="1"/>
  <c r="AI12"/>
  <c r="AI13" a="1"/>
  <c r="AI13"/>
  <c r="AI14" a="1"/>
  <c r="AI14"/>
  <c r="AI15" a="1"/>
  <c r="AI15"/>
  <c r="AI16" a="1"/>
  <c r="AI16"/>
  <c r="AI17" a="1"/>
  <c r="AI17"/>
  <c r="AI18" a="1"/>
  <c r="AI18"/>
  <c r="AI19" a="1"/>
  <c r="AI19"/>
  <c r="AI20" a="1"/>
  <c r="AI20"/>
  <c r="AI21" a="1"/>
  <c r="AI21"/>
  <c r="AI22" a="1"/>
  <c r="AI22"/>
  <c r="AI23" a="1"/>
  <c r="AI23"/>
  <c r="AI24" a="1"/>
  <c r="AI24"/>
  <c r="AI25" a="1"/>
  <c r="AI25"/>
  <c r="AI26" a="1"/>
  <c r="AI26"/>
  <c r="AI27" a="1"/>
  <c r="AI27"/>
  <c r="AI28" a="1"/>
  <c r="AI28"/>
  <c r="AI29" a="1"/>
  <c r="AI29"/>
  <c r="AI30" a="1"/>
  <c r="AI30"/>
  <c r="AI31" a="1"/>
  <c r="AI31"/>
  <c r="AI32" a="1"/>
  <c r="AI32"/>
  <c r="AI33" a="1"/>
  <c r="AI33"/>
  <c r="AI34" a="1"/>
  <c r="AI34"/>
  <c r="AI35" a="1"/>
  <c r="AI35"/>
  <c r="AI36" a="1"/>
  <c r="AI36"/>
  <c r="AI37" a="1"/>
  <c r="AI37"/>
  <c r="AI38" a="1"/>
  <c r="AI38"/>
  <c r="AI39" a="1"/>
  <c r="AI39"/>
  <c r="AI40" a="1"/>
  <c r="AI40"/>
  <c r="AI41" a="1"/>
  <c r="AI41"/>
  <c r="AI42" a="1"/>
  <c r="AI42"/>
  <c r="AI43" a="1"/>
  <c r="AI43"/>
  <c r="AI44" a="1"/>
  <c r="AI44"/>
  <c r="AI45" a="1"/>
  <c r="AI45"/>
  <c r="AI46" a="1"/>
  <c r="AI46"/>
  <c r="AI47" a="1"/>
  <c r="AI47"/>
  <c r="AI48" a="1"/>
  <c r="AI48"/>
  <c r="AI49" a="1"/>
  <c r="AI49"/>
  <c r="AI50" a="1"/>
  <c r="AI50"/>
  <c r="AI51" a="1"/>
  <c r="AI51"/>
  <c r="AI52" a="1"/>
  <c r="AI52"/>
  <c r="AI53" a="1"/>
  <c r="AI53"/>
  <c r="AI54" a="1"/>
  <c r="AI54"/>
  <c r="AI55" a="1"/>
  <c r="AI55"/>
  <c r="AI56" a="1"/>
  <c r="AI56"/>
  <c r="AI57" a="1"/>
  <c r="AI57"/>
  <c r="AI58" a="1"/>
  <c r="AI58"/>
  <c r="AI59" a="1"/>
  <c r="AI59"/>
  <c r="AI60" a="1"/>
  <c r="AI60"/>
  <c r="AI61" a="1"/>
  <c r="AI61"/>
  <c r="AI62" a="1"/>
  <c r="AI62"/>
  <c r="AI63" a="1"/>
  <c r="AI63"/>
  <c r="AI64" a="1"/>
  <c r="AI64"/>
  <c r="AI65" a="1"/>
  <c r="AI65"/>
  <c r="AI66" a="1"/>
  <c r="AI66"/>
  <c r="AI67" a="1"/>
  <c r="AI67"/>
  <c r="AI68" a="1"/>
  <c r="AI68"/>
  <c r="AI69" a="1"/>
  <c r="AI69"/>
  <c r="AI70" a="1"/>
  <c r="AI70"/>
  <c r="AI71" a="1"/>
  <c r="AI71"/>
  <c r="AI72" a="1"/>
  <c r="AI72"/>
  <c r="AI73" a="1"/>
  <c r="AI73"/>
  <c r="AI74" a="1"/>
  <c r="AI74"/>
  <c r="AI75" a="1"/>
  <c r="AI75"/>
  <c r="AI76" a="1"/>
  <c r="AI76"/>
  <c r="AI77" a="1"/>
  <c r="AI77"/>
  <c r="AI78" a="1"/>
  <c r="AI78"/>
  <c r="AI79" a="1"/>
  <c r="AI79"/>
  <c r="AI4" a="1"/>
  <c r="AI4"/>
  <c r="D305" i="3"/>
  <c r="K305"/>
  <c r="D266"/>
  <c r="K266"/>
  <c r="D224"/>
  <c r="G224"/>
  <c r="J224"/>
  <c r="M224"/>
  <c r="D222"/>
  <c r="G222"/>
  <c r="J222"/>
  <c r="M222"/>
  <c r="D219"/>
  <c r="G219"/>
  <c r="J219"/>
  <c r="M219"/>
  <c r="E219"/>
  <c r="D217"/>
  <c r="G217"/>
  <c r="J217"/>
  <c r="M217"/>
  <c r="E217"/>
  <c r="D185"/>
  <c r="G185"/>
  <c r="J185"/>
  <c r="M185"/>
  <c r="E185"/>
  <c r="F185"/>
  <c r="H185"/>
  <c r="I185"/>
  <c r="K185"/>
  <c r="L185"/>
  <c r="N185"/>
  <c r="O185"/>
  <c r="D183"/>
  <c r="G183"/>
  <c r="J183"/>
  <c r="M183"/>
  <c r="E183"/>
  <c r="F183"/>
  <c r="H183"/>
  <c r="I183"/>
  <c r="K183"/>
  <c r="L183"/>
  <c r="N183"/>
  <c r="O183"/>
  <c r="D180"/>
  <c r="G180"/>
  <c r="J180"/>
  <c r="M180"/>
  <c r="E180"/>
  <c r="F180"/>
  <c r="H180"/>
  <c r="I180"/>
  <c r="K180"/>
  <c r="L180"/>
  <c r="N180"/>
  <c r="O180"/>
  <c r="D178"/>
  <c r="G178"/>
  <c r="J178"/>
  <c r="M178"/>
  <c r="E178"/>
  <c r="F188"/>
  <c r="F178"/>
  <c r="G188"/>
  <c r="H178"/>
  <c r="F189"/>
  <c r="I178"/>
  <c r="G189"/>
  <c r="K178"/>
  <c r="F190"/>
  <c r="L178"/>
  <c r="G190"/>
  <c r="N178"/>
  <c r="F191"/>
  <c r="O178"/>
  <c r="G191"/>
  <c r="D147"/>
  <c r="G147"/>
  <c r="J147"/>
  <c r="M147"/>
  <c r="E147"/>
  <c r="F147"/>
  <c r="H147"/>
  <c r="I147"/>
  <c r="K147"/>
  <c r="L147"/>
  <c r="N147"/>
  <c r="O147"/>
  <c r="D145"/>
  <c r="G145"/>
  <c r="J145"/>
  <c r="M145"/>
  <c r="E145"/>
  <c r="F145"/>
  <c r="H145"/>
  <c r="I145"/>
  <c r="K145"/>
  <c r="L145"/>
  <c r="N145"/>
  <c r="O145"/>
  <c r="D142"/>
  <c r="G142"/>
  <c r="J142"/>
  <c r="M142"/>
  <c r="E142"/>
  <c r="F142"/>
  <c r="H142"/>
  <c r="I142"/>
  <c r="K142"/>
  <c r="L142"/>
  <c r="N142"/>
  <c r="O142"/>
  <c r="D140"/>
  <c r="G140"/>
  <c r="J140"/>
  <c r="M140"/>
  <c r="E140"/>
  <c r="F150"/>
  <c r="F140"/>
  <c r="G150"/>
  <c r="H140"/>
  <c r="F151"/>
  <c r="I140"/>
  <c r="G151"/>
  <c r="K140"/>
  <c r="F152"/>
  <c r="L140"/>
  <c r="G152"/>
  <c r="N140"/>
  <c r="F153"/>
  <c r="O140"/>
  <c r="G153"/>
  <c r="D108"/>
  <c r="G108"/>
  <c r="J108"/>
  <c r="M108"/>
  <c r="E108"/>
  <c r="F108"/>
  <c r="H108"/>
  <c r="I108"/>
  <c r="K108"/>
  <c r="L108"/>
  <c r="N108"/>
  <c r="O108"/>
  <c r="D106"/>
  <c r="G106"/>
  <c r="J106"/>
  <c r="M106"/>
  <c r="E106"/>
  <c r="F106"/>
  <c r="H106"/>
  <c r="I106"/>
  <c r="K106"/>
  <c r="L106"/>
  <c r="N106"/>
  <c r="O106"/>
  <c r="D103"/>
  <c r="G103"/>
  <c r="J103"/>
  <c r="M103"/>
  <c r="E103"/>
  <c r="F103"/>
  <c r="H103"/>
  <c r="I103"/>
  <c r="K103"/>
  <c r="L103"/>
  <c r="N103"/>
  <c r="O103"/>
  <c r="D101"/>
  <c r="G101"/>
  <c r="J101"/>
  <c r="M101"/>
  <c r="E101"/>
  <c r="F111"/>
  <c r="F101"/>
  <c r="G111"/>
  <c r="H101"/>
  <c r="F112"/>
  <c r="I101"/>
  <c r="G112"/>
  <c r="K101"/>
  <c r="F113"/>
  <c r="L101"/>
  <c r="G113"/>
  <c r="N101"/>
  <c r="F114"/>
  <c r="O101"/>
  <c r="G114"/>
  <c r="D69"/>
  <c r="G69"/>
  <c r="J69"/>
  <c r="M69"/>
  <c r="E69"/>
  <c r="F69"/>
  <c r="H69"/>
  <c r="I69"/>
  <c r="K69"/>
  <c r="L69"/>
  <c r="N69"/>
  <c r="O69"/>
  <c r="D67"/>
  <c r="G67"/>
  <c r="J67"/>
  <c r="M67"/>
  <c r="E67"/>
  <c r="F67"/>
  <c r="H67"/>
  <c r="I67"/>
  <c r="K67"/>
  <c r="L67"/>
  <c r="N67"/>
  <c r="O67"/>
  <c r="D64"/>
  <c r="G64"/>
  <c r="J64"/>
  <c r="M64"/>
  <c r="E64"/>
  <c r="F64"/>
  <c r="H64"/>
  <c r="I64"/>
  <c r="K64"/>
  <c r="L64"/>
  <c r="N64"/>
  <c r="O64"/>
  <c r="D62"/>
  <c r="G62"/>
  <c r="J62"/>
  <c r="M62"/>
  <c r="E62"/>
  <c r="F72"/>
  <c r="F62"/>
  <c r="G72"/>
  <c r="H62"/>
  <c r="F73"/>
  <c r="I62"/>
  <c r="G73"/>
  <c r="K62"/>
  <c r="F74"/>
  <c r="L62"/>
  <c r="G74"/>
  <c r="N62"/>
  <c r="F75"/>
  <c r="O62"/>
  <c r="G75"/>
  <c r="O302"/>
  <c r="O300"/>
  <c r="O297"/>
  <c r="O295"/>
  <c r="G308"/>
  <c r="N302"/>
  <c r="N300"/>
  <c r="N297"/>
  <c r="N295"/>
  <c r="F308"/>
  <c r="L302"/>
  <c r="L300"/>
  <c r="L297"/>
  <c r="L295"/>
  <c r="G307"/>
  <c r="K302"/>
  <c r="K300"/>
  <c r="K297"/>
  <c r="K295"/>
  <c r="F307"/>
  <c r="I302"/>
  <c r="I300"/>
  <c r="I297"/>
  <c r="I295"/>
  <c r="G306"/>
  <c r="H302"/>
  <c r="H300"/>
  <c r="H297"/>
  <c r="H295"/>
  <c r="F306"/>
  <c r="F302"/>
  <c r="F300"/>
  <c r="F297"/>
  <c r="F295"/>
  <c r="G305"/>
  <c r="E302"/>
  <c r="E300"/>
  <c r="E297"/>
  <c r="E295"/>
  <c r="F305"/>
  <c r="M302"/>
  <c r="M300"/>
  <c r="M297"/>
  <c r="M295"/>
  <c r="J302"/>
  <c r="J300"/>
  <c r="J297"/>
  <c r="J295"/>
  <c r="G302"/>
  <c r="G300"/>
  <c r="G297"/>
  <c r="G295"/>
  <c r="O263"/>
  <c r="O261"/>
  <c r="O258"/>
  <c r="O256"/>
  <c r="G269"/>
  <c r="N263"/>
  <c r="N261"/>
  <c r="N258"/>
  <c r="N256"/>
  <c r="F269"/>
  <c r="L263"/>
  <c r="L261"/>
  <c r="L258"/>
  <c r="L256"/>
  <c r="G268"/>
  <c r="K263"/>
  <c r="K261"/>
  <c r="K258"/>
  <c r="K256"/>
  <c r="F268"/>
  <c r="I263"/>
  <c r="I261"/>
  <c r="I258"/>
  <c r="I256"/>
  <c r="G267"/>
  <c r="H263"/>
  <c r="H261"/>
  <c r="H258"/>
  <c r="H256"/>
  <c r="F267"/>
  <c r="F263"/>
  <c r="F261"/>
  <c r="F258"/>
  <c r="F256"/>
  <c r="G266"/>
  <c r="E263"/>
  <c r="E261"/>
  <c r="E258"/>
  <c r="E256"/>
  <c r="F266"/>
  <c r="M263"/>
  <c r="M261"/>
  <c r="M258"/>
  <c r="M256"/>
  <c r="J263"/>
  <c r="J261"/>
  <c r="J258"/>
  <c r="J256"/>
  <c r="G263"/>
  <c r="G261"/>
  <c r="G258"/>
  <c r="G256"/>
  <c r="O224"/>
  <c r="O222"/>
  <c r="O219"/>
  <c r="O217"/>
  <c r="G230"/>
  <c r="N224"/>
  <c r="N222"/>
  <c r="N219"/>
  <c r="N217"/>
  <c r="F230"/>
  <c r="L224"/>
  <c r="L222"/>
  <c r="L219"/>
  <c r="L217"/>
  <c r="G229"/>
  <c r="K224"/>
  <c r="K222"/>
  <c r="K219"/>
  <c r="K217"/>
  <c r="F229"/>
  <c r="I224"/>
  <c r="I222"/>
  <c r="I219"/>
  <c r="I217"/>
  <c r="G228"/>
  <c r="H224"/>
  <c r="H222"/>
  <c r="H219"/>
  <c r="H217"/>
  <c r="F228"/>
  <c r="F224"/>
  <c r="F222"/>
  <c r="F219"/>
  <c r="F217"/>
  <c r="G227"/>
  <c r="E224"/>
  <c r="E222"/>
  <c r="E228"/>
  <c r="E229"/>
  <c r="E230"/>
  <c r="D267"/>
  <c r="K267"/>
  <c r="L267"/>
  <c r="M267"/>
  <c r="D268"/>
  <c r="K268"/>
  <c r="L268"/>
  <c r="M268"/>
  <c r="D269"/>
  <c r="H269"/>
  <c r="K269"/>
  <c r="L269"/>
  <c r="M269"/>
  <c r="E266"/>
  <c r="J266"/>
  <c r="J270"/>
  <c r="E267"/>
  <c r="J267"/>
  <c r="E268"/>
  <c r="J268"/>
  <c r="E269"/>
  <c r="I269"/>
  <c r="J269"/>
  <c r="D306"/>
  <c r="K306"/>
  <c r="M306"/>
  <c r="L306"/>
  <c r="D307"/>
  <c r="K307"/>
  <c r="M307"/>
  <c r="L307"/>
  <c r="D308"/>
  <c r="H308"/>
  <c r="K308"/>
  <c r="M308"/>
  <c r="L308"/>
  <c r="E305"/>
  <c r="J305"/>
  <c r="J309"/>
  <c r="E306"/>
  <c r="J306"/>
  <c r="E307"/>
  <c r="J307"/>
  <c r="E308"/>
  <c r="I308"/>
  <c r="J308"/>
  <c r="E75"/>
  <c r="J75"/>
  <c r="E74"/>
  <c r="J74"/>
  <c r="E73"/>
  <c r="J73"/>
  <c r="E72"/>
  <c r="J72"/>
  <c r="J76"/>
  <c r="D75"/>
  <c r="K75"/>
  <c r="L75"/>
  <c r="M75"/>
  <c r="D74"/>
  <c r="K74"/>
  <c r="L74"/>
  <c r="M74"/>
  <c r="D73"/>
  <c r="K73"/>
  <c r="L73"/>
  <c r="M73"/>
  <c r="D72"/>
  <c r="K72"/>
  <c r="L72"/>
  <c r="M72"/>
  <c r="E114"/>
  <c r="J114"/>
  <c r="E113"/>
  <c r="J113"/>
  <c r="E112"/>
  <c r="J112"/>
  <c r="E111"/>
  <c r="J111"/>
  <c r="J115"/>
  <c r="D114"/>
  <c r="K114"/>
  <c r="L114"/>
  <c r="M114"/>
  <c r="D113"/>
  <c r="K113"/>
  <c r="L113"/>
  <c r="M113"/>
  <c r="D112"/>
  <c r="K112"/>
  <c r="L112"/>
  <c r="M112"/>
  <c r="D111"/>
  <c r="K111"/>
  <c r="L111"/>
  <c r="M111"/>
  <c r="E153"/>
  <c r="J153"/>
  <c r="E152"/>
  <c r="J152"/>
  <c r="E151"/>
  <c r="J151"/>
  <c r="E150"/>
  <c r="J150"/>
  <c r="J154"/>
  <c r="D153"/>
  <c r="K153"/>
  <c r="L153"/>
  <c r="M153"/>
  <c r="D152"/>
  <c r="K152"/>
  <c r="L152"/>
  <c r="M152"/>
  <c r="D151"/>
  <c r="K151"/>
  <c r="L151"/>
  <c r="M151"/>
  <c r="D150"/>
  <c r="K150"/>
  <c r="L150"/>
  <c r="M150"/>
  <c r="E191"/>
  <c r="J191"/>
  <c r="E190"/>
  <c r="J190"/>
  <c r="E189"/>
  <c r="J189"/>
  <c r="E188"/>
  <c r="J188"/>
  <c r="J192"/>
  <c r="D191"/>
  <c r="K191"/>
  <c r="L191"/>
  <c r="M191"/>
  <c r="D190"/>
  <c r="K190"/>
  <c r="L190"/>
  <c r="M190"/>
  <c r="D189"/>
  <c r="K189"/>
  <c r="L189"/>
  <c r="M189"/>
  <c r="D188"/>
  <c r="K188"/>
  <c r="L188"/>
  <c r="M188"/>
  <c r="D230"/>
  <c r="K230"/>
  <c r="L230"/>
  <c r="M230"/>
  <c r="D229"/>
  <c r="K229"/>
  <c r="L229"/>
  <c r="M229"/>
  <c r="D228"/>
  <c r="K228"/>
  <c r="L228"/>
  <c r="M228"/>
  <c r="D227"/>
  <c r="K227"/>
  <c r="L227"/>
  <c r="M227"/>
  <c r="H266"/>
  <c r="H270"/>
  <c r="H305"/>
  <c r="H309"/>
  <c r="F227"/>
  <c r="E227"/>
  <c r="J227"/>
  <c r="J231"/>
  <c r="H227"/>
  <c r="H231"/>
  <c r="H188"/>
  <c r="H192"/>
  <c r="I188"/>
  <c r="I192"/>
  <c r="H150"/>
  <c r="H154"/>
  <c r="I150"/>
  <c r="I154"/>
  <c r="H111"/>
  <c r="H115"/>
  <c r="I111"/>
  <c r="I115"/>
  <c r="H72"/>
  <c r="H76"/>
  <c r="I72"/>
  <c r="I76"/>
  <c r="I305"/>
  <c r="I309"/>
  <c r="I266"/>
  <c r="I270"/>
  <c r="B309"/>
  <c r="B305"/>
  <c r="B270"/>
  <c r="B266"/>
  <c r="H228"/>
  <c r="H229"/>
  <c r="H230"/>
  <c r="H189"/>
  <c r="H190"/>
  <c r="H191"/>
  <c r="I189"/>
  <c r="I190"/>
  <c r="I191"/>
  <c r="H151"/>
  <c r="H152"/>
  <c r="H153"/>
  <c r="I151"/>
  <c r="I152"/>
  <c r="I153"/>
  <c r="H112"/>
  <c r="H113"/>
  <c r="H114"/>
  <c r="I112"/>
  <c r="I113"/>
  <c r="I114"/>
  <c r="H73"/>
  <c r="H74"/>
  <c r="H75"/>
  <c r="I73"/>
  <c r="I74"/>
  <c r="I75"/>
  <c r="I307"/>
  <c r="I306"/>
  <c r="B308"/>
  <c r="H307"/>
  <c r="B307"/>
  <c r="H306"/>
  <c r="B306"/>
  <c r="A306"/>
  <c r="I268"/>
  <c r="I267"/>
  <c r="B269"/>
  <c r="H268"/>
  <c r="B268"/>
  <c r="H267"/>
  <c r="B267"/>
  <c r="A267"/>
  <c r="J230"/>
  <c r="I230"/>
  <c r="J229"/>
  <c r="I229"/>
  <c r="J228"/>
  <c r="I228"/>
  <c r="I227"/>
  <c r="I231"/>
  <c r="A268"/>
  <c r="A269"/>
  <c r="A307"/>
  <c r="A308"/>
  <c r="B75"/>
  <c r="B74"/>
  <c r="B73"/>
  <c r="B114"/>
  <c r="B113"/>
  <c r="B112"/>
  <c r="B153"/>
  <c r="B152"/>
  <c r="B151"/>
  <c r="B191"/>
  <c r="B190"/>
  <c r="B189"/>
  <c r="B230"/>
  <c r="B229"/>
  <c r="B228"/>
  <c r="A266"/>
  <c r="A270"/>
  <c r="A305"/>
  <c r="A309"/>
  <c r="B76"/>
  <c r="B72"/>
  <c r="A72"/>
  <c r="B115"/>
  <c r="B111"/>
  <c r="A111"/>
  <c r="B154"/>
  <c r="B150"/>
  <c r="A150"/>
  <c r="B192"/>
  <c r="B188"/>
  <c r="A188"/>
  <c r="B231"/>
  <c r="B227"/>
  <c r="A227"/>
  <c r="Q199"/>
  <c r="Y199"/>
  <c r="O199"/>
  <c r="P199"/>
  <c r="S199"/>
  <c r="M199"/>
  <c r="X199"/>
  <c r="R199"/>
  <c r="T199"/>
  <c r="U199"/>
  <c r="V199"/>
  <c r="Q160"/>
  <c r="Y160"/>
  <c r="O160"/>
  <c r="P160"/>
  <c r="S160"/>
  <c r="M160"/>
  <c r="X160"/>
  <c r="R160"/>
  <c r="T160"/>
  <c r="U160"/>
  <c r="V160"/>
  <c r="Q122"/>
  <c r="Y122"/>
  <c r="O122"/>
  <c r="P122"/>
  <c r="M122"/>
  <c r="S122"/>
  <c r="X122"/>
  <c r="R122"/>
  <c r="T122"/>
  <c r="U122"/>
  <c r="V122"/>
  <c r="Q83"/>
  <c r="Y83"/>
  <c r="O83"/>
  <c r="P83"/>
  <c r="M83"/>
  <c r="S83"/>
  <c r="X83"/>
  <c r="R83"/>
  <c r="T83"/>
  <c r="U83"/>
  <c r="V83"/>
  <c r="Q44"/>
  <c r="Y44"/>
  <c r="O44"/>
  <c r="P44"/>
  <c r="M44"/>
  <c r="S44"/>
  <c r="X44"/>
  <c r="R44"/>
  <c r="T44"/>
  <c r="U44"/>
  <c r="V44"/>
  <c r="Q277"/>
  <c r="Q278"/>
  <c r="Q279"/>
  <c r="Q280"/>
  <c r="Y277"/>
  <c r="Y278"/>
  <c r="O277"/>
  <c r="O278"/>
  <c r="P277"/>
  <c r="Y279"/>
  <c r="O279"/>
  <c r="P278"/>
  <c r="Y280"/>
  <c r="O280"/>
  <c r="P279"/>
  <c r="P280"/>
  <c r="S277"/>
  <c r="S278"/>
  <c r="S279"/>
  <c r="S280"/>
  <c r="M278"/>
  <c r="M277"/>
  <c r="M279"/>
  <c r="N279"/>
  <c r="X277"/>
  <c r="R277"/>
  <c r="X278"/>
  <c r="R278"/>
  <c r="X280"/>
  <c r="R280"/>
  <c r="X279"/>
  <c r="R279"/>
  <c r="T277"/>
  <c r="T278"/>
  <c r="T279"/>
  <c r="T280"/>
  <c r="M280"/>
  <c r="N280"/>
  <c r="M281"/>
  <c r="N286"/>
  <c r="U277"/>
  <c r="V277"/>
  <c r="U278"/>
  <c r="V278"/>
  <c r="U279"/>
  <c r="V279"/>
  <c r="U280"/>
  <c r="V280"/>
  <c r="O286"/>
  <c r="P286"/>
  <c r="Q286"/>
  <c r="R286"/>
  <c r="S286"/>
  <c r="T286"/>
  <c r="U286"/>
  <c r="V286"/>
  <c r="Q238"/>
  <c r="Q239"/>
  <c r="Q240"/>
  <c r="Q241"/>
  <c r="Y238"/>
  <c r="Y239"/>
  <c r="O238"/>
  <c r="O239"/>
  <c r="P238"/>
  <c r="Y240"/>
  <c r="O240"/>
  <c r="P239"/>
  <c r="Y241"/>
  <c r="O241"/>
  <c r="P240"/>
  <c r="P241"/>
  <c r="S238"/>
  <c r="S239"/>
  <c r="S240"/>
  <c r="S241"/>
  <c r="M239"/>
  <c r="M238"/>
  <c r="M240"/>
  <c r="N240"/>
  <c r="X238"/>
  <c r="R238"/>
  <c r="X241"/>
  <c r="R241"/>
  <c r="X239"/>
  <c r="R239"/>
  <c r="X240"/>
  <c r="R240"/>
  <c r="T238"/>
  <c r="T239"/>
  <c r="T240"/>
  <c r="T241"/>
  <c r="U238"/>
  <c r="V238"/>
  <c r="U239"/>
  <c r="V239"/>
  <c r="U240"/>
  <c r="V240"/>
  <c r="M241"/>
  <c r="N241"/>
  <c r="U241"/>
  <c r="V241"/>
  <c r="M242"/>
  <c r="N247"/>
  <c r="O247"/>
  <c r="P247"/>
  <c r="Q247"/>
  <c r="R247"/>
  <c r="S247"/>
  <c r="T247"/>
  <c r="U247"/>
  <c r="V247"/>
  <c r="A231"/>
  <c r="A192"/>
  <c r="A154"/>
  <c r="A115"/>
  <c r="A76"/>
  <c r="A228"/>
  <c r="Q200"/>
  <c r="A229"/>
  <c r="A230"/>
  <c r="A189"/>
  <c r="Q161"/>
  <c r="A190"/>
  <c r="A191"/>
  <c r="A151"/>
  <c r="Q123"/>
  <c r="A152"/>
  <c r="A153"/>
  <c r="A112"/>
  <c r="Q84"/>
  <c r="A113"/>
  <c r="A114"/>
  <c r="A73"/>
  <c r="Q45"/>
  <c r="A74"/>
  <c r="A75"/>
  <c r="AL238"/>
  <c r="AL239"/>
  <c r="AL240"/>
  <c r="AL241"/>
  <c r="AL242"/>
  <c r="AL243"/>
  <c r="P243"/>
  <c r="W238"/>
  <c r="AF238"/>
  <c r="AF239"/>
  <c r="AF240"/>
  <c r="AF241"/>
  <c r="AF242"/>
  <c r="AF243"/>
  <c r="Z238"/>
  <c r="Z239"/>
  <c r="Z240"/>
  <c r="Z241"/>
  <c r="Z242"/>
  <c r="Z243"/>
  <c r="AL277"/>
  <c r="AL278"/>
  <c r="AL279"/>
  <c r="AL280"/>
  <c r="AL281"/>
  <c r="AL282"/>
  <c r="P282"/>
  <c r="W277"/>
  <c r="AF277"/>
  <c r="AF278"/>
  <c r="AF279"/>
  <c r="AF280"/>
  <c r="AF281"/>
  <c r="AF282"/>
  <c r="Z277"/>
  <c r="Z278"/>
  <c r="Z279"/>
  <c r="Z280"/>
  <c r="Z281"/>
  <c r="Z282"/>
  <c r="W44"/>
  <c r="W83"/>
  <c r="W122"/>
  <c r="W160"/>
  <c r="W199"/>
  <c r="W247"/>
  <c r="N239"/>
  <c r="W241"/>
  <c r="W240"/>
  <c r="W239"/>
  <c r="W286"/>
  <c r="N278"/>
  <c r="W280"/>
  <c r="W279"/>
  <c r="W278"/>
  <c r="V53"/>
  <c r="U53"/>
  <c r="T53"/>
  <c r="S53"/>
  <c r="R53"/>
  <c r="Q53"/>
  <c r="P53"/>
  <c r="W53"/>
  <c r="O53"/>
  <c r="M48"/>
  <c r="M47"/>
  <c r="V47"/>
  <c r="U47"/>
  <c r="V45"/>
  <c r="U45"/>
  <c r="V46"/>
  <c r="U46"/>
  <c r="T47"/>
  <c r="T45"/>
  <c r="T46"/>
  <c r="R46"/>
  <c r="X46"/>
  <c r="R47"/>
  <c r="X47"/>
  <c r="R45"/>
  <c r="X45"/>
  <c r="M46"/>
  <c r="S47"/>
  <c r="S46"/>
  <c r="S45"/>
  <c r="M45"/>
  <c r="N45"/>
  <c r="P47"/>
  <c r="W47"/>
  <c r="P46"/>
  <c r="W46"/>
  <c r="O47"/>
  <c r="Y47"/>
  <c r="P45"/>
  <c r="W45"/>
  <c r="O46"/>
  <c r="Y46"/>
  <c r="O45"/>
  <c r="Y45"/>
  <c r="Q47"/>
  <c r="Q46"/>
  <c r="V92"/>
  <c r="U92"/>
  <c r="T92"/>
  <c r="S92"/>
  <c r="R92"/>
  <c r="Q92"/>
  <c r="P92"/>
  <c r="W92"/>
  <c r="O92"/>
  <c r="M87"/>
  <c r="V86"/>
  <c r="U86"/>
  <c r="M86"/>
  <c r="V85"/>
  <c r="U85"/>
  <c r="V84"/>
  <c r="U84"/>
  <c r="T86"/>
  <c r="T85"/>
  <c r="T84"/>
  <c r="R86"/>
  <c r="X86"/>
  <c r="R85"/>
  <c r="X85"/>
  <c r="R84"/>
  <c r="X84"/>
  <c r="S86"/>
  <c r="S85"/>
  <c r="S84"/>
  <c r="M85"/>
  <c r="M84"/>
  <c r="N84"/>
  <c r="P86"/>
  <c r="W86"/>
  <c r="P85"/>
  <c r="W85"/>
  <c r="O86"/>
  <c r="Y86"/>
  <c r="P84"/>
  <c r="W84"/>
  <c r="O85"/>
  <c r="Y85"/>
  <c r="O84"/>
  <c r="Y84"/>
  <c r="Q86"/>
  <c r="Q85"/>
  <c r="V131"/>
  <c r="U131"/>
  <c r="T131"/>
  <c r="S131"/>
  <c r="R131"/>
  <c r="Q131"/>
  <c r="P131"/>
  <c r="W131"/>
  <c r="O131"/>
  <c r="M126"/>
  <c r="M125"/>
  <c r="V125"/>
  <c r="U125"/>
  <c r="V124"/>
  <c r="U124"/>
  <c r="V123"/>
  <c r="U123"/>
  <c r="T125"/>
  <c r="T124"/>
  <c r="T123"/>
  <c r="R125"/>
  <c r="X125"/>
  <c r="R124"/>
  <c r="X124"/>
  <c r="R123"/>
  <c r="X123"/>
  <c r="M124"/>
  <c r="S125"/>
  <c r="S124"/>
  <c r="S123"/>
  <c r="M123"/>
  <c r="N123"/>
  <c r="P125"/>
  <c r="W125"/>
  <c r="P124"/>
  <c r="W124"/>
  <c r="O125"/>
  <c r="Y125"/>
  <c r="P123"/>
  <c r="W123"/>
  <c r="O124"/>
  <c r="Y124"/>
  <c r="O123"/>
  <c r="Y123"/>
  <c r="Q125"/>
  <c r="Q124"/>
  <c r="V169"/>
  <c r="U169"/>
  <c r="T169"/>
  <c r="S169"/>
  <c r="R169"/>
  <c r="Q169"/>
  <c r="P169"/>
  <c r="W169"/>
  <c r="O169"/>
  <c r="M164"/>
  <c r="V163"/>
  <c r="U163"/>
  <c r="M163"/>
  <c r="V162"/>
  <c r="U162"/>
  <c r="V161"/>
  <c r="U161"/>
  <c r="T163"/>
  <c r="T162"/>
  <c r="T161"/>
  <c r="R161"/>
  <c r="X161"/>
  <c r="R163"/>
  <c r="X163"/>
  <c r="R162"/>
  <c r="X162"/>
  <c r="M162"/>
  <c r="M161"/>
  <c r="N161"/>
  <c r="S163"/>
  <c r="S162"/>
  <c r="S161"/>
  <c r="P163"/>
  <c r="W163"/>
  <c r="P162"/>
  <c r="W162"/>
  <c r="O163"/>
  <c r="Y163"/>
  <c r="P161"/>
  <c r="W161"/>
  <c r="O162"/>
  <c r="Y162"/>
  <c r="O161"/>
  <c r="Y161"/>
  <c r="Q163"/>
  <c r="Q162"/>
  <c r="V208"/>
  <c r="U208"/>
  <c r="T208"/>
  <c r="S208"/>
  <c r="R208"/>
  <c r="Q208"/>
  <c r="P208"/>
  <c r="W208"/>
  <c r="O208"/>
  <c r="M203"/>
  <c r="V202"/>
  <c r="U202"/>
  <c r="M202"/>
  <c r="V201"/>
  <c r="U201"/>
  <c r="V200"/>
  <c r="U200"/>
  <c r="T201"/>
  <c r="T202"/>
  <c r="T200"/>
  <c r="R201"/>
  <c r="X201"/>
  <c r="R200"/>
  <c r="X200"/>
  <c r="R202"/>
  <c r="X202"/>
  <c r="M201"/>
  <c r="M200"/>
  <c r="N200"/>
  <c r="S202"/>
  <c r="S201"/>
  <c r="S200"/>
  <c r="P202"/>
  <c r="W202"/>
  <c r="P201"/>
  <c r="W201"/>
  <c r="O202"/>
  <c r="Y202"/>
  <c r="P200"/>
  <c r="W200"/>
  <c r="O201"/>
  <c r="Y201"/>
  <c r="O200"/>
  <c r="Y200"/>
  <c r="Q202"/>
  <c r="Q201"/>
  <c r="AF199"/>
  <c r="AF200"/>
  <c r="AF201"/>
  <c r="AF202"/>
  <c r="AF203"/>
  <c r="AF204"/>
  <c r="AL199"/>
  <c r="AL200"/>
  <c r="AL201"/>
  <c r="AL202"/>
  <c r="AL203"/>
  <c r="AL204"/>
  <c r="AF160"/>
  <c r="AF161"/>
  <c r="AF162"/>
  <c r="AF163"/>
  <c r="AF164"/>
  <c r="AF165"/>
  <c r="AL160"/>
  <c r="AL161"/>
  <c r="AL162"/>
  <c r="AL163"/>
  <c r="AL164"/>
  <c r="AL165"/>
  <c r="AF122"/>
  <c r="AF123"/>
  <c r="AF124"/>
  <c r="AF125"/>
  <c r="AF126"/>
  <c r="AF127"/>
  <c r="AL122"/>
  <c r="AL123"/>
  <c r="AL124"/>
  <c r="AL125"/>
  <c r="AL126"/>
  <c r="AL127"/>
  <c r="AF83"/>
  <c r="AF84"/>
  <c r="AF85"/>
  <c r="AF86"/>
  <c r="AF87"/>
  <c r="AF88"/>
  <c r="AL83"/>
  <c r="AL84"/>
  <c r="AL85"/>
  <c r="AL86"/>
  <c r="AL87"/>
  <c r="AL88"/>
  <c r="AF44"/>
  <c r="AF45"/>
  <c r="AF46"/>
  <c r="AF47"/>
  <c r="AF48"/>
  <c r="AF49"/>
  <c r="AL44"/>
  <c r="AL45"/>
  <c r="AL46"/>
  <c r="AL47"/>
  <c r="AL48"/>
  <c r="AL49"/>
  <c r="AC282"/>
  <c r="AD282"/>
  <c r="AA282"/>
  <c r="AB282"/>
  <c r="AA281"/>
  <c r="AB281"/>
  <c r="AC281"/>
  <c r="AD281"/>
  <c r="AC280"/>
  <c r="AD280"/>
  <c r="AA280"/>
  <c r="AB280"/>
  <c r="AC279"/>
  <c r="AD279"/>
  <c r="AA279"/>
  <c r="AB279"/>
  <c r="AC278"/>
  <c r="AD278"/>
  <c r="AA278"/>
  <c r="AB278"/>
  <c r="Z284"/>
  <c r="AC277"/>
  <c r="AD277"/>
  <c r="AA277"/>
  <c r="AB277"/>
  <c r="AI282"/>
  <c r="AJ282"/>
  <c r="AG282"/>
  <c r="AH282"/>
  <c r="AI281"/>
  <c r="AJ281"/>
  <c r="AG281"/>
  <c r="AH281"/>
  <c r="AG280"/>
  <c r="AH280"/>
  <c r="AI280"/>
  <c r="AJ280"/>
  <c r="AI279"/>
  <c r="AJ279"/>
  <c r="AG279"/>
  <c r="AH279"/>
  <c r="AI278"/>
  <c r="AJ278"/>
  <c r="AG278"/>
  <c r="AH278"/>
  <c r="AF284"/>
  <c r="AI277"/>
  <c r="AJ277"/>
  <c r="AG277"/>
  <c r="AH277"/>
  <c r="AO282"/>
  <c r="AP282"/>
  <c r="AM282"/>
  <c r="AN282"/>
  <c r="AO281"/>
  <c r="AP281"/>
  <c r="AM281"/>
  <c r="AN281"/>
  <c r="AO280"/>
  <c r="AP280"/>
  <c r="AM280"/>
  <c r="AN280"/>
  <c r="AO279"/>
  <c r="AP279"/>
  <c r="AM279"/>
  <c r="AN279"/>
  <c r="AO278"/>
  <c r="AP278"/>
  <c r="AM278"/>
  <c r="AN278"/>
  <c r="AL284"/>
  <c r="AO277"/>
  <c r="AP277"/>
  <c r="AM277"/>
  <c r="AN277"/>
  <c r="AC243"/>
  <c r="AD243"/>
  <c r="AA243"/>
  <c r="AB243"/>
  <c r="AA242"/>
  <c r="AB242"/>
  <c r="AC242"/>
  <c r="AD242"/>
  <c r="AA241"/>
  <c r="AB241"/>
  <c r="AC241"/>
  <c r="AD241"/>
  <c r="AC240"/>
  <c r="AD240"/>
  <c r="AA240"/>
  <c r="AB240"/>
  <c r="AC239"/>
  <c r="AD239"/>
  <c r="AA239"/>
  <c r="AB239"/>
  <c r="Z245"/>
  <c r="AC238"/>
  <c r="AD238"/>
  <c r="AA238"/>
  <c r="AB238"/>
  <c r="AI243"/>
  <c r="AJ243"/>
  <c r="AG243"/>
  <c r="AH243"/>
  <c r="AI242"/>
  <c r="AJ242"/>
  <c r="AG242"/>
  <c r="AH242"/>
  <c r="AG241"/>
  <c r="AH241"/>
  <c r="AI241"/>
  <c r="AJ241"/>
  <c r="AI240"/>
  <c r="AJ240"/>
  <c r="AG240"/>
  <c r="AH240"/>
  <c r="AI239"/>
  <c r="AJ239"/>
  <c r="AG239"/>
  <c r="AH239"/>
  <c r="AF245"/>
  <c r="AI238"/>
  <c r="AJ238"/>
  <c r="AG238"/>
  <c r="AH238"/>
  <c r="AO243"/>
  <c r="AP243"/>
  <c r="AM243"/>
  <c r="AN243"/>
  <c r="AO242"/>
  <c r="AP242"/>
  <c r="AM242"/>
  <c r="AN242"/>
  <c r="AO241"/>
  <c r="AP241"/>
  <c r="AM241"/>
  <c r="AN241"/>
  <c r="AM240"/>
  <c r="AN240"/>
  <c r="AO240"/>
  <c r="AP240"/>
  <c r="AO239"/>
  <c r="AP239"/>
  <c r="AM239"/>
  <c r="AN239"/>
  <c r="AL245"/>
  <c r="AO238"/>
  <c r="AP238"/>
  <c r="AM238"/>
  <c r="AN238"/>
  <c r="N201"/>
  <c r="N202"/>
  <c r="N208"/>
  <c r="N162"/>
  <c r="N163"/>
  <c r="N169"/>
  <c r="N124"/>
  <c r="N125"/>
  <c r="N131"/>
  <c r="N85"/>
  <c r="N86"/>
  <c r="N92"/>
  <c r="N46"/>
  <c r="N47"/>
  <c r="N53"/>
  <c r="Z204"/>
  <c r="Z203"/>
  <c r="Z202"/>
  <c r="Z201"/>
  <c r="Z200"/>
  <c r="Z199"/>
  <c r="P204"/>
  <c r="Z165"/>
  <c r="Z164"/>
  <c r="Z163"/>
  <c r="Z162"/>
  <c r="Z161"/>
  <c r="Z160"/>
  <c r="P165"/>
  <c r="Z127"/>
  <c r="Z126"/>
  <c r="Z125"/>
  <c r="Z124"/>
  <c r="Z123"/>
  <c r="Z122"/>
  <c r="P127"/>
  <c r="Z88"/>
  <c r="Z87"/>
  <c r="Z86"/>
  <c r="Z85"/>
  <c r="Z84"/>
  <c r="Z83"/>
  <c r="P88"/>
  <c r="Z49"/>
  <c r="Z48"/>
  <c r="Z47"/>
  <c r="Z46"/>
  <c r="Z45"/>
  <c r="Z44"/>
  <c r="P49"/>
  <c r="Z51"/>
  <c r="AC44"/>
  <c r="AD44"/>
  <c r="AA44"/>
  <c r="AB44"/>
  <c r="AA45"/>
  <c r="AB45"/>
  <c r="AC45"/>
  <c r="AD45"/>
  <c r="AC46"/>
  <c r="AD46"/>
  <c r="AA46"/>
  <c r="AB46"/>
  <c r="AC47"/>
  <c r="AD47"/>
  <c r="AA47"/>
  <c r="AB47"/>
  <c r="AA48"/>
  <c r="AB48"/>
  <c r="AC48"/>
  <c r="AD48"/>
  <c r="AC49"/>
  <c r="AD49"/>
  <c r="AA49"/>
  <c r="AB49"/>
  <c r="Z90"/>
  <c r="AC83"/>
  <c r="AD83"/>
  <c r="AA83"/>
  <c r="AB83"/>
  <c r="AA84"/>
  <c r="AB84"/>
  <c r="AC84"/>
  <c r="AD84"/>
  <c r="AC85"/>
  <c r="AD85"/>
  <c r="AA85"/>
  <c r="AB85"/>
  <c r="AC86"/>
  <c r="AD86"/>
  <c r="AA86"/>
  <c r="AB86"/>
  <c r="AA87"/>
  <c r="AB87"/>
  <c r="AC87"/>
  <c r="AD87"/>
  <c r="AC88"/>
  <c r="AD88"/>
  <c r="AA88"/>
  <c r="AB88"/>
  <c r="Z129"/>
  <c r="AC122"/>
  <c r="AD122"/>
  <c r="AA122"/>
  <c r="AB122"/>
  <c r="AC123"/>
  <c r="AD123"/>
  <c r="AA123"/>
  <c r="AB123"/>
  <c r="AC124"/>
  <c r="AD124"/>
  <c r="AA124"/>
  <c r="AB124"/>
  <c r="AC125"/>
  <c r="AD125"/>
  <c r="AA125"/>
  <c r="AB125"/>
  <c r="AC126"/>
  <c r="AD126"/>
  <c r="AA126"/>
  <c r="AB126"/>
  <c r="AC127"/>
  <c r="AD127"/>
  <c r="AA127"/>
  <c r="AB127"/>
  <c r="Z167"/>
  <c r="AC160"/>
  <c r="AD160"/>
  <c r="AA160"/>
  <c r="AB160"/>
  <c r="AC161"/>
  <c r="AD161"/>
  <c r="AA161"/>
  <c r="AB161"/>
  <c r="AC162"/>
  <c r="AD162"/>
  <c r="AA162"/>
  <c r="AB162"/>
  <c r="AC163"/>
  <c r="AD163"/>
  <c r="AA163"/>
  <c r="AB163"/>
  <c r="AA164"/>
  <c r="AB164"/>
  <c r="AC164"/>
  <c r="AD164"/>
  <c r="AC165"/>
  <c r="AD165"/>
  <c r="AA165"/>
  <c r="AB165"/>
  <c r="Z206"/>
  <c r="AC199"/>
  <c r="AD199"/>
  <c r="AA199"/>
  <c r="AB199"/>
  <c r="AA200"/>
  <c r="AB200"/>
  <c r="AC200"/>
  <c r="AD200"/>
  <c r="AC201"/>
  <c r="AD201"/>
  <c r="AA201"/>
  <c r="AB201"/>
  <c r="AC202"/>
  <c r="AD202"/>
  <c r="AA202"/>
  <c r="AB202"/>
  <c r="AC203"/>
  <c r="AD203"/>
  <c r="AA203"/>
  <c r="AB203"/>
  <c r="AC204"/>
  <c r="AD204"/>
  <c r="AA204"/>
  <c r="AB204"/>
  <c r="AO245"/>
  <c r="AM245"/>
  <c r="AN245"/>
  <c r="AI245"/>
  <c r="AK239"/>
  <c r="AK240"/>
  <c r="AG245"/>
  <c r="AH245"/>
  <c r="AC245"/>
  <c r="AA245"/>
  <c r="AB245"/>
  <c r="AO284"/>
  <c r="AM284"/>
  <c r="AN284"/>
  <c r="AI284"/>
  <c r="AK278"/>
  <c r="AK279"/>
  <c r="AG284"/>
  <c r="AH284"/>
  <c r="AC284"/>
  <c r="AA284"/>
  <c r="AB284"/>
  <c r="AO49"/>
  <c r="AP49"/>
  <c r="AM49"/>
  <c r="AN49"/>
  <c r="AO48"/>
  <c r="AP48"/>
  <c r="AM48"/>
  <c r="AN48"/>
  <c r="AO47"/>
  <c r="AP47"/>
  <c r="AM47"/>
  <c r="AN47"/>
  <c r="AO46"/>
  <c r="AP46"/>
  <c r="AM46"/>
  <c r="AN46"/>
  <c r="AO45"/>
  <c r="AP45"/>
  <c r="AM45"/>
  <c r="AN45"/>
  <c r="AL51"/>
  <c r="AO44"/>
  <c r="AP44"/>
  <c r="AM44"/>
  <c r="AN44"/>
  <c r="AI49"/>
  <c r="AJ49"/>
  <c r="AG49"/>
  <c r="AH49"/>
  <c r="AI48"/>
  <c r="AJ48"/>
  <c r="AG48"/>
  <c r="AH48"/>
  <c r="AI47"/>
  <c r="AJ47"/>
  <c r="AG47"/>
  <c r="AH47"/>
  <c r="AI46"/>
  <c r="AJ46"/>
  <c r="AG46"/>
  <c r="AH46"/>
  <c r="AI45"/>
  <c r="AJ45"/>
  <c r="AG45"/>
  <c r="AH45"/>
  <c r="AF51"/>
  <c r="AI44"/>
  <c r="AJ44"/>
  <c r="AG44"/>
  <c r="AH44"/>
  <c r="AO88"/>
  <c r="AP88"/>
  <c r="AM88"/>
  <c r="AN88"/>
  <c r="AO87"/>
  <c r="AP87"/>
  <c r="AM87"/>
  <c r="AN87"/>
  <c r="AO86"/>
  <c r="AP86"/>
  <c r="AM86"/>
  <c r="AN86"/>
  <c r="AO85"/>
  <c r="AP85"/>
  <c r="AM85"/>
  <c r="AN85"/>
  <c r="AO84"/>
  <c r="AP84"/>
  <c r="AM84"/>
  <c r="AN84"/>
  <c r="AL90"/>
  <c r="AO83"/>
  <c r="AP83"/>
  <c r="AM83"/>
  <c r="AN83"/>
  <c r="AI88"/>
  <c r="AJ88"/>
  <c r="AG88"/>
  <c r="AH88"/>
  <c r="AI87"/>
  <c r="AJ87"/>
  <c r="AG87"/>
  <c r="AH87"/>
  <c r="AG86"/>
  <c r="AH86"/>
  <c r="AI86"/>
  <c r="AJ86"/>
  <c r="AI85"/>
  <c r="AJ85"/>
  <c r="AG85"/>
  <c r="AH85"/>
  <c r="AI84"/>
  <c r="AJ84"/>
  <c r="AG84"/>
  <c r="AH84"/>
  <c r="AF90"/>
  <c r="AI83"/>
  <c r="AJ83"/>
  <c r="AG83"/>
  <c r="AH83"/>
  <c r="AO127"/>
  <c r="AP127"/>
  <c r="AM127"/>
  <c r="AN127"/>
  <c r="AO126"/>
  <c r="AP126"/>
  <c r="AM126"/>
  <c r="AN126"/>
  <c r="AO125"/>
  <c r="AP125"/>
  <c r="AM125"/>
  <c r="AN125"/>
  <c r="AO124"/>
  <c r="AP124"/>
  <c r="AM124"/>
  <c r="AN124"/>
  <c r="AO123"/>
  <c r="AP123"/>
  <c r="AM123"/>
  <c r="AN123"/>
  <c r="AL129"/>
  <c r="AO122"/>
  <c r="AP122"/>
  <c r="AM122"/>
  <c r="AN122"/>
  <c r="AI127"/>
  <c r="AJ127"/>
  <c r="AG127"/>
  <c r="AH127"/>
  <c r="AI126"/>
  <c r="AJ126"/>
  <c r="AG126"/>
  <c r="AH126"/>
  <c r="AI125"/>
  <c r="AJ125"/>
  <c r="AG125"/>
  <c r="AH125"/>
  <c r="AI124"/>
  <c r="AJ124"/>
  <c r="AG124"/>
  <c r="AH124"/>
  <c r="AI123"/>
  <c r="AJ123"/>
  <c r="AG123"/>
  <c r="AH123"/>
  <c r="AF129"/>
  <c r="AI122"/>
  <c r="AJ122"/>
  <c r="AG122"/>
  <c r="AH122"/>
  <c r="AO165"/>
  <c r="AP165"/>
  <c r="AM165"/>
  <c r="AN165"/>
  <c r="AO164"/>
  <c r="AP164"/>
  <c r="AM164"/>
  <c r="AN164"/>
  <c r="AO163"/>
  <c r="AP163"/>
  <c r="AM163"/>
  <c r="AN163"/>
  <c r="AO162"/>
  <c r="AP162"/>
  <c r="AM162"/>
  <c r="AN162"/>
  <c r="AO161"/>
  <c r="AP161"/>
  <c r="AM161"/>
  <c r="AN161"/>
  <c r="AL167"/>
  <c r="AO160"/>
  <c r="AP160"/>
  <c r="AM160"/>
  <c r="AN160"/>
  <c r="AI165"/>
  <c r="AJ165"/>
  <c r="AG165"/>
  <c r="AH165"/>
  <c r="AI164"/>
  <c r="AJ164"/>
  <c r="AG164"/>
  <c r="AH164"/>
  <c r="AI163"/>
  <c r="AJ163"/>
  <c r="AG163"/>
  <c r="AH163"/>
  <c r="AI162"/>
  <c r="AJ162"/>
  <c r="AG162"/>
  <c r="AH162"/>
  <c r="AI161"/>
  <c r="AJ161"/>
  <c r="AG161"/>
  <c r="AH161"/>
  <c r="AF167"/>
  <c r="AI160"/>
  <c r="AJ160"/>
  <c r="AG160"/>
  <c r="AH160"/>
  <c r="AO204"/>
  <c r="AP204"/>
  <c r="AM204"/>
  <c r="AN204"/>
  <c r="AO203"/>
  <c r="AP203"/>
  <c r="AM203"/>
  <c r="AN203"/>
  <c r="AO202"/>
  <c r="AP202"/>
  <c r="AM202"/>
  <c r="AN202"/>
  <c r="AO201"/>
  <c r="AP201"/>
  <c r="AM201"/>
  <c r="AN201"/>
  <c r="AO200"/>
  <c r="AP200"/>
  <c r="AM200"/>
  <c r="AN200"/>
  <c r="AL206"/>
  <c r="AO199"/>
  <c r="AP199"/>
  <c r="AM199"/>
  <c r="AN199"/>
  <c r="AI204"/>
  <c r="AJ204"/>
  <c r="AG204"/>
  <c r="AH204"/>
  <c r="AI203"/>
  <c r="AJ203"/>
  <c r="AG203"/>
  <c r="AH203"/>
  <c r="AI202"/>
  <c r="AJ202"/>
  <c r="AG202"/>
  <c r="AH202"/>
  <c r="AI201"/>
  <c r="AJ201"/>
  <c r="AG201"/>
  <c r="AH201"/>
  <c r="AI200"/>
  <c r="AJ200"/>
  <c r="AG200"/>
  <c r="AH200"/>
  <c r="AF206"/>
  <c r="AI199"/>
  <c r="AJ199"/>
  <c r="AG199"/>
  <c r="AH199"/>
  <c r="AI206"/>
  <c r="AK200"/>
  <c r="AK201"/>
  <c r="AG206"/>
  <c r="AH206"/>
  <c r="AO206"/>
  <c r="AM206"/>
  <c r="AN206"/>
  <c r="AI167"/>
  <c r="AK161"/>
  <c r="AK162"/>
  <c r="AG167"/>
  <c r="AH167"/>
  <c r="AO167"/>
  <c r="AM167"/>
  <c r="AN167"/>
  <c r="AI129"/>
  <c r="AK123"/>
  <c r="AK124"/>
  <c r="AG129"/>
  <c r="AH129"/>
  <c r="AO129"/>
  <c r="AM129"/>
  <c r="AN129"/>
  <c r="AI90"/>
  <c r="AK84"/>
  <c r="AK85"/>
  <c r="AG90"/>
  <c r="AH90"/>
  <c r="AO90"/>
  <c r="AM90"/>
  <c r="AN90"/>
  <c r="AI51"/>
  <c r="AK45"/>
  <c r="AK46"/>
  <c r="AG51"/>
  <c r="AH51"/>
  <c r="AO51"/>
  <c r="AM51"/>
  <c r="AN51"/>
  <c r="AE277"/>
  <c r="AR282"/>
  <c r="AQ279"/>
  <c r="AQ280"/>
  <c r="AR283"/>
  <c r="AE238"/>
  <c r="AR243"/>
  <c r="AQ240"/>
  <c r="AQ241"/>
  <c r="AR244"/>
  <c r="AC206"/>
  <c r="AA206"/>
  <c r="AB206"/>
  <c r="AC167"/>
  <c r="AA167"/>
  <c r="AB167"/>
  <c r="AC129"/>
  <c r="AA129"/>
  <c r="AB129"/>
  <c r="AC90"/>
  <c r="AA90"/>
  <c r="AB90"/>
  <c r="AC51"/>
  <c r="AA51"/>
  <c r="AB51"/>
  <c r="AE44"/>
  <c r="AR49"/>
  <c r="AE83"/>
  <c r="AR88"/>
  <c r="AE122"/>
  <c r="AR127"/>
  <c r="AE160"/>
  <c r="AR165"/>
  <c r="AE199"/>
  <c r="AR204"/>
  <c r="AS241"/>
  <c r="L241"/>
  <c r="AE239"/>
  <c r="L239"/>
  <c r="L238"/>
  <c r="AS280"/>
  <c r="L280"/>
  <c r="AE278"/>
  <c r="L278"/>
  <c r="L277"/>
  <c r="AQ46"/>
  <c r="AQ47"/>
  <c r="AR50"/>
  <c r="AS46"/>
  <c r="L46"/>
  <c r="AQ85"/>
  <c r="AQ86"/>
  <c r="L86"/>
  <c r="AR89"/>
  <c r="AQ124"/>
  <c r="AQ125"/>
  <c r="AR128"/>
  <c r="AS124"/>
  <c r="L124"/>
  <c r="AQ162"/>
  <c r="AQ163"/>
  <c r="AR166"/>
  <c r="AS162"/>
  <c r="L162"/>
  <c r="AQ201"/>
  <c r="AQ202"/>
  <c r="AR205"/>
  <c r="AS201"/>
  <c r="L201"/>
  <c r="L240"/>
  <c r="AS240"/>
  <c r="AR245"/>
  <c r="AS239"/>
  <c r="L279"/>
  <c r="AS279"/>
  <c r="AR284"/>
  <c r="AS278"/>
  <c r="L85"/>
  <c r="D322"/>
  <c r="B30" i="12"/>
  <c r="E320" i="3"/>
  <c r="B16" i="12"/>
  <c r="AS281" i="3"/>
  <c r="D320"/>
  <c r="B14" i="12"/>
  <c r="E322" i="3"/>
  <c r="B32" i="12"/>
  <c r="AS242" i="3"/>
  <c r="AS202"/>
  <c r="L202"/>
  <c r="AS163"/>
  <c r="L163"/>
  <c r="AS125"/>
  <c r="L125"/>
  <c r="AS47"/>
  <c r="L47"/>
  <c r="AU277"/>
  <c r="AU278"/>
  <c r="AU279"/>
  <c r="AU280"/>
  <c r="AX277"/>
  <c r="AX278"/>
  <c r="AX279"/>
  <c r="AX280"/>
  <c r="AT277"/>
  <c r="AT278"/>
  <c r="AT279"/>
  <c r="AT280"/>
  <c r="AV277"/>
  <c r="AW277"/>
  <c r="AV278"/>
  <c r="AW278"/>
  <c r="AV280"/>
  <c r="AW280"/>
  <c r="AV279"/>
  <c r="AW279"/>
  <c r="AY277"/>
  <c r="AY278"/>
  <c r="AY279"/>
  <c r="AY280"/>
  <c r="AZ277"/>
  <c r="BA277"/>
  <c r="BB277"/>
  <c r="AZ278"/>
  <c r="BA278"/>
  <c r="BB278"/>
  <c r="AZ279"/>
  <c r="BA279"/>
  <c r="BB279"/>
  <c r="AZ280"/>
  <c r="BA280"/>
  <c r="BB280"/>
  <c r="AU238"/>
  <c r="AU239"/>
  <c r="AU240"/>
  <c r="AU241"/>
  <c r="AX238"/>
  <c r="AX239"/>
  <c r="AX240"/>
  <c r="AX241"/>
  <c r="AT238"/>
  <c r="AT239"/>
  <c r="AT240"/>
  <c r="AT241"/>
  <c r="AV238"/>
  <c r="AW238"/>
  <c r="AV241"/>
  <c r="AW241"/>
  <c r="AV239"/>
  <c r="AW239"/>
  <c r="AV240"/>
  <c r="AW240"/>
  <c r="AY238"/>
  <c r="AY239"/>
  <c r="AY240"/>
  <c r="AY241"/>
  <c r="AZ238"/>
  <c r="BA238"/>
  <c r="BB238"/>
  <c r="AZ239"/>
  <c r="BA239"/>
  <c r="BB239"/>
  <c r="AZ240"/>
  <c r="BA240"/>
  <c r="BB240"/>
  <c r="AZ241"/>
  <c r="BA241"/>
  <c r="BB241"/>
  <c r="AE200"/>
  <c r="L200"/>
  <c r="L199"/>
  <c r="AE161"/>
  <c r="L161"/>
  <c r="L160"/>
  <c r="AE123"/>
  <c r="L123"/>
  <c r="L122"/>
  <c r="AE84"/>
  <c r="L84"/>
  <c r="L83"/>
  <c r="AE45"/>
  <c r="L45"/>
  <c r="L44"/>
  <c r="AR206"/>
  <c r="AS200"/>
  <c r="AR167"/>
  <c r="AS161"/>
  <c r="AR129"/>
  <c r="AS123"/>
  <c r="AR90"/>
  <c r="AR51"/>
  <c r="AS45"/>
  <c r="D317"/>
  <c r="B18" i="12"/>
  <c r="E315" i="3"/>
  <c r="AS48"/>
  <c r="AS84"/>
  <c r="AS85"/>
  <c r="AS86"/>
  <c r="D318"/>
  <c r="B22" i="12"/>
  <c r="E316" i="3"/>
  <c r="B8" i="12"/>
  <c r="AS126" i="3"/>
  <c r="D319"/>
  <c r="B10" i="12"/>
  <c r="E321" i="3"/>
  <c r="B28" i="12"/>
  <c r="AS195" i="3"/>
  <c r="AS164"/>
  <c r="D321"/>
  <c r="B26" i="12"/>
  <c r="E319" i="3"/>
  <c r="B12" i="12"/>
  <c r="AS203" i="3"/>
  <c r="AS234"/>
  <c r="AU44"/>
  <c r="AU45"/>
  <c r="AU46"/>
  <c r="AU47"/>
  <c r="AT44"/>
  <c r="AX44"/>
  <c r="AX45"/>
  <c r="AX46"/>
  <c r="AX47"/>
  <c r="AT45"/>
  <c r="AV44"/>
  <c r="AW44"/>
  <c r="AV45"/>
  <c r="AW45"/>
  <c r="AT46"/>
  <c r="AT47"/>
  <c r="AV47"/>
  <c r="AW47"/>
  <c r="AV46"/>
  <c r="AW46"/>
  <c r="AY44"/>
  <c r="AY46"/>
  <c r="AY45"/>
  <c r="AY47"/>
  <c r="BB44"/>
  <c r="BB46"/>
  <c r="BB45"/>
  <c r="BB47"/>
  <c r="AZ44"/>
  <c r="BA44"/>
  <c r="AZ45"/>
  <c r="BA45"/>
  <c r="AZ46"/>
  <c r="BA46"/>
  <c r="AZ47"/>
  <c r="BA47"/>
  <c r="AU83"/>
  <c r="AU84"/>
  <c r="AU85"/>
  <c r="AU86"/>
  <c r="AT84"/>
  <c r="AX83"/>
  <c r="AX84"/>
  <c r="AX85"/>
  <c r="AX86"/>
  <c r="AT83"/>
  <c r="AV84"/>
  <c r="AW84"/>
  <c r="AV83"/>
  <c r="AW83"/>
  <c r="AT85"/>
  <c r="AV85"/>
  <c r="AW85"/>
  <c r="AT86"/>
  <c r="AV86"/>
  <c r="AW86"/>
  <c r="AY83"/>
  <c r="AY84"/>
  <c r="AY85"/>
  <c r="AY86"/>
  <c r="AZ83"/>
  <c r="BA83"/>
  <c r="BB83"/>
  <c r="AZ84"/>
  <c r="BA84"/>
  <c r="BB84"/>
  <c r="AZ85"/>
  <c r="BA85"/>
  <c r="BB85"/>
  <c r="AZ86"/>
  <c r="BA86"/>
  <c r="BB86"/>
  <c r="AU122"/>
  <c r="AU123"/>
  <c r="AU124"/>
  <c r="AU125"/>
  <c r="AT122"/>
  <c r="AX122"/>
  <c r="AX123"/>
  <c r="AX124"/>
  <c r="AX125"/>
  <c r="AT123"/>
  <c r="AV122"/>
  <c r="AW122"/>
  <c r="AT124"/>
  <c r="AV124"/>
  <c r="AW124"/>
  <c r="AV123"/>
  <c r="AW123"/>
  <c r="AT125"/>
  <c r="AV125"/>
  <c r="AW125"/>
  <c r="AY122"/>
  <c r="AY123"/>
  <c r="AY124"/>
  <c r="AY125"/>
  <c r="AZ122"/>
  <c r="BA122"/>
  <c r="BB122"/>
  <c r="AZ123"/>
  <c r="BA123"/>
  <c r="BB123"/>
  <c r="AZ124"/>
  <c r="BA124"/>
  <c r="BB124"/>
  <c r="AZ125"/>
  <c r="BA125"/>
  <c r="BB125"/>
  <c r="AU160"/>
  <c r="AU161"/>
  <c r="AU162"/>
  <c r="AU163"/>
  <c r="AX160"/>
  <c r="AX161"/>
  <c r="AX162"/>
  <c r="AX163"/>
  <c r="AT160"/>
  <c r="AT161"/>
  <c r="AV160"/>
  <c r="AW160"/>
  <c r="AT162"/>
  <c r="AV162"/>
  <c r="AW162"/>
  <c r="AT163"/>
  <c r="AV163"/>
  <c r="AW163"/>
  <c r="AV161"/>
  <c r="AW161"/>
  <c r="AY160"/>
  <c r="AY161"/>
  <c r="AY162"/>
  <c r="AY163"/>
  <c r="AZ160"/>
  <c r="BA160"/>
  <c r="BB160"/>
  <c r="AZ161"/>
  <c r="BA161"/>
  <c r="BB161"/>
  <c r="AZ162"/>
  <c r="BA162"/>
  <c r="BB162"/>
  <c r="AZ163"/>
  <c r="BA163"/>
  <c r="BB163"/>
  <c r="AU199"/>
  <c r="AU200"/>
  <c r="AU201"/>
  <c r="AU202"/>
  <c r="AX199"/>
  <c r="AX200"/>
  <c r="AX201"/>
  <c r="AX202"/>
  <c r="AT199"/>
  <c r="AT200"/>
  <c r="AT201"/>
  <c r="AT202"/>
  <c r="AV202"/>
  <c r="AW202"/>
  <c r="AV199"/>
  <c r="AW199"/>
  <c r="AV200"/>
  <c r="AW200"/>
  <c r="AV201"/>
  <c r="AW201"/>
  <c r="AY199"/>
  <c r="AY200"/>
  <c r="AY202"/>
  <c r="AY201"/>
  <c r="AZ199"/>
  <c r="BA199"/>
  <c r="BB199"/>
  <c r="AZ200"/>
  <c r="BA200"/>
  <c r="BB200"/>
  <c r="AZ201"/>
  <c r="BA201"/>
  <c r="BB201"/>
  <c r="AZ202"/>
  <c r="BA202"/>
  <c r="BB202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E318"/>
  <c r="B24" i="12"/>
  <c r="D316" i="3"/>
  <c r="AS118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B4" i="12"/>
  <c r="AQ1" i="3"/>
  <c r="AR1"/>
  <c r="BD1"/>
  <c r="AS1"/>
  <c r="Q343"/>
  <c r="AA343" a="1"/>
  <c r="AA343"/>
  <c r="Q344"/>
  <c r="AA344" a="1"/>
  <c r="AA344"/>
  <c r="Q345"/>
  <c r="AA345" a="1"/>
  <c r="AA345"/>
  <c r="Q346"/>
  <c r="AA346" a="1"/>
  <c r="AA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B6" i="12"/>
  <c r="AA374" i="3" a="1"/>
  <c r="AA374"/>
  <c r="AA373" a="1"/>
  <c r="AA373"/>
  <c r="AA372" a="1"/>
  <c r="AA372"/>
  <c r="AA371" a="1"/>
  <c r="AA371"/>
  <c r="AA370" a="1"/>
  <c r="AA370"/>
  <c r="AA369" a="1"/>
  <c r="AA369"/>
  <c r="AA368" a="1"/>
  <c r="AA368"/>
  <c r="AA367" a="1"/>
  <c r="AA367"/>
  <c r="AA366" a="1"/>
  <c r="AA366"/>
  <c r="AA365" a="1"/>
  <c r="AA365"/>
  <c r="AA364" a="1"/>
  <c r="AA364"/>
  <c r="AA363" a="1"/>
  <c r="AA363"/>
  <c r="AA362" a="1"/>
  <c r="AA362"/>
  <c r="AA361" a="1"/>
  <c r="AA361"/>
  <c r="AA360" a="1"/>
  <c r="AA360"/>
  <c r="AA359" a="1"/>
  <c r="AA359"/>
  <c r="AA358" a="1"/>
  <c r="AA358"/>
  <c r="AA357" a="1"/>
  <c r="AA357"/>
  <c r="AA356" a="1"/>
  <c r="AA356"/>
  <c r="AA355" a="1"/>
  <c r="AA355"/>
  <c r="AA354" a="1"/>
  <c r="AA354"/>
  <c r="AA353" a="1"/>
  <c r="AA353"/>
  <c r="AA352" a="1"/>
  <c r="AA352"/>
  <c r="AA351" a="1"/>
  <c r="AA351"/>
  <c r="AA350" a="1"/>
  <c r="AA350"/>
  <c r="AA349" a="1"/>
  <c r="AA349"/>
  <c r="AA348" a="1"/>
  <c r="AA348"/>
  <c r="AA347" a="1"/>
  <c r="AA347"/>
  <c r="D347"/>
  <c r="D348"/>
  <c r="D349"/>
  <c r="D350"/>
  <c r="D351"/>
  <c r="D352"/>
  <c r="D353"/>
  <c r="D354"/>
  <c r="D355"/>
  <c r="D356"/>
  <c r="D357"/>
  <c r="D358"/>
  <c r="D359"/>
  <c r="D360"/>
  <c r="D361"/>
  <c r="D346"/>
  <c r="D362"/>
  <c r="D363"/>
  <c r="D364"/>
  <c r="D365"/>
  <c r="D366"/>
  <c r="D367"/>
  <c r="D368"/>
  <c r="D369"/>
  <c r="D370"/>
  <c r="D371"/>
  <c r="D372"/>
  <c r="D373"/>
  <c r="D374"/>
  <c r="D375"/>
  <c r="D376"/>
  <c r="D377"/>
  <c r="H377"/>
  <c r="G377"/>
  <c r="AB374"/>
  <c r="E377"/>
  <c r="H376"/>
  <c r="G376"/>
  <c r="AB373"/>
  <c r="E376"/>
  <c r="H375"/>
  <c r="G375"/>
  <c r="AB372"/>
  <c r="E375"/>
  <c r="H374"/>
  <c r="G374"/>
  <c r="AB371"/>
  <c r="E374"/>
  <c r="H373"/>
  <c r="G373"/>
  <c r="AB370"/>
  <c r="E373"/>
  <c r="H372"/>
  <c r="G372"/>
  <c r="AB369"/>
  <c r="E372"/>
  <c r="H371"/>
  <c r="G371"/>
  <c r="AB368"/>
  <c r="E371"/>
  <c r="H370"/>
  <c r="G370"/>
  <c r="AB367"/>
  <c r="E370"/>
  <c r="H369"/>
  <c r="G369"/>
  <c r="AB366"/>
  <c r="E369"/>
  <c r="H368"/>
  <c r="G368"/>
  <c r="AB365"/>
  <c r="E368"/>
  <c r="H367"/>
  <c r="G367"/>
  <c r="AB364"/>
  <c r="E367"/>
  <c r="H366"/>
  <c r="G366"/>
  <c r="AB363"/>
  <c r="E366"/>
  <c r="H365"/>
  <c r="G365"/>
  <c r="AB362"/>
  <c r="E365"/>
  <c r="H364"/>
  <c r="G364"/>
  <c r="AB361"/>
  <c r="E364"/>
  <c r="H363"/>
  <c r="G363"/>
  <c r="AB360"/>
  <c r="E363"/>
  <c r="H362"/>
  <c r="G362"/>
  <c r="AB359"/>
  <c r="E362"/>
  <c r="H346"/>
  <c r="G346"/>
  <c r="AB343"/>
  <c r="E346"/>
  <c r="H361"/>
  <c r="G361"/>
  <c r="AB358"/>
  <c r="E361"/>
  <c r="H360"/>
  <c r="G360"/>
  <c r="AB357"/>
  <c r="E360"/>
  <c r="H359"/>
  <c r="G359"/>
  <c r="AB356"/>
  <c r="E359"/>
  <c r="H358"/>
  <c r="G358"/>
  <c r="AB355"/>
  <c r="E358"/>
  <c r="H357"/>
  <c r="G357"/>
  <c r="AB354"/>
  <c r="E357"/>
  <c r="H356"/>
  <c r="G356"/>
  <c r="AB353"/>
  <c r="E356"/>
  <c r="H355"/>
  <c r="G355"/>
  <c r="AB352"/>
  <c r="E355"/>
  <c r="H354"/>
  <c r="G354"/>
  <c r="AB351"/>
  <c r="E354"/>
  <c r="H353"/>
  <c r="G353"/>
  <c r="AB350"/>
  <c r="E353"/>
  <c r="H352"/>
  <c r="G352"/>
  <c r="AB349"/>
  <c r="E352"/>
  <c r="H351"/>
  <c r="G351"/>
  <c r="AB348"/>
  <c r="E351"/>
  <c r="H350"/>
  <c r="G350"/>
  <c r="AB347"/>
  <c r="E350"/>
  <c r="H349"/>
  <c r="G349"/>
  <c r="AB346"/>
  <c r="E349"/>
  <c r="H348"/>
  <c r="G348"/>
  <c r="AB345"/>
  <c r="E348"/>
  <c r="H347"/>
  <c r="G347"/>
  <c r="AB344"/>
  <c r="C347"/>
  <c r="E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AE5" i="8" a="1"/>
  <c r="AE6" a="1"/>
  <c r="AE7" a="1"/>
  <c r="AE8" a="1"/>
  <c r="AE9" a="1"/>
  <c r="AE10" a="1"/>
  <c r="AE11" a="1"/>
  <c r="AE12" a="1"/>
  <c r="AE13" a="1"/>
  <c r="AE14" a="1"/>
  <c r="AE15" a="1"/>
  <c r="AE16" a="1"/>
  <c r="AE17" a="1"/>
  <c r="AE18" a="1"/>
  <c r="AE19" a="1"/>
  <c r="AE4" a="1"/>
  <c r="AC5" a="1"/>
  <c r="AC6" a="1"/>
  <c r="AC7" a="1"/>
  <c r="AC8" a="1"/>
  <c r="AC9" a="1"/>
  <c r="AC10" a="1"/>
  <c r="AC11" a="1"/>
  <c r="AC12" a="1"/>
  <c r="AC13" a="1"/>
  <c r="AC14" a="1"/>
  <c r="AC15" a="1"/>
  <c r="AC16" a="1"/>
  <c r="AC17" a="1"/>
  <c r="AC18" a="1"/>
  <c r="AC19" a="1"/>
  <c r="AC4" a="1"/>
  <c r="AC4" l="1"/>
  <c r="AC19"/>
  <c r="AC18"/>
  <c r="AC17"/>
  <c r="AC16"/>
  <c r="AC15"/>
  <c r="AC14"/>
  <c r="AC13"/>
  <c r="AC12"/>
  <c r="AC11"/>
  <c r="AC10"/>
  <c r="AC9"/>
  <c r="AC8"/>
  <c r="AC7"/>
  <c r="AC6"/>
  <c r="AC5"/>
  <c r="AE4"/>
  <c r="AE19"/>
  <c r="AE18"/>
  <c r="AE17"/>
  <c r="AE16"/>
  <c r="AE15"/>
  <c r="AE14"/>
  <c r="AE13"/>
  <c r="AE12"/>
  <c r="AE11"/>
  <c r="AE10"/>
  <c r="AE9"/>
  <c r="AE8"/>
  <c r="AE7"/>
  <c r="AE6"/>
  <c r="AE5"/>
  <c r="AB4" a="1"/>
  <c r="AB19" a="1"/>
  <c r="AB18" a="1"/>
  <c r="AB17" a="1"/>
  <c r="AB16" a="1"/>
  <c r="AB15" a="1"/>
  <c r="AB14" a="1"/>
  <c r="AB13" a="1"/>
  <c r="AB12" a="1"/>
  <c r="AB11" a="1"/>
  <c r="AB10" a="1"/>
  <c r="AB9" a="1"/>
  <c r="AB8" a="1"/>
  <c r="AB7" a="1"/>
  <c r="AB6" a="1"/>
  <c r="AB5" a="1"/>
  <c r="AD4" a="1"/>
  <c r="AD19" a="1"/>
  <c r="AD18" a="1"/>
  <c r="AD17" a="1"/>
  <c r="AD16" a="1"/>
  <c r="AD15" a="1"/>
  <c r="AD14" a="1"/>
  <c r="AD13" a="1"/>
  <c r="AD12" a="1"/>
  <c r="AD11" a="1"/>
  <c r="AD10" a="1"/>
  <c r="AD9" a="1"/>
  <c r="AD8" a="1"/>
  <c r="AD7" a="1"/>
  <c r="AD6" a="1"/>
  <c r="AD5" a="1"/>
  <c r="AD5" l="1"/>
  <c r="AD6"/>
  <c r="AD7"/>
  <c r="AD8"/>
  <c r="AD9"/>
  <c r="AD10"/>
  <c r="AD11"/>
  <c r="AD12"/>
  <c r="AD13"/>
  <c r="AD14"/>
  <c r="AD15"/>
  <c r="AD16"/>
  <c r="AD17"/>
  <c r="AD18"/>
  <c r="AD19"/>
  <c r="AD4"/>
  <c r="AB5"/>
  <c r="AB6"/>
  <c r="AB7"/>
  <c r="AB8"/>
  <c r="AB9"/>
  <c r="AB10"/>
  <c r="AB11"/>
  <c r="AB12"/>
  <c r="AB13"/>
  <c r="AB14"/>
  <c r="AB15"/>
  <c r="AB16"/>
  <c r="AB17"/>
  <c r="AB18"/>
  <c r="AB19"/>
  <c r="AB4"/>
</calcChain>
</file>

<file path=xl/comments1.xml><?xml version="1.0" encoding="utf-8"?>
<comments xmlns="http://schemas.openxmlformats.org/spreadsheetml/2006/main">
  <authors>
    <author>WF</author>
  </authors>
  <commentList>
    <comment ref="J1" authorId="0">
      <text>
        <r>
          <rPr>
            <b/>
            <sz val="8"/>
            <color indexed="81"/>
            <rFont val="Tahoma"/>
          </rPr>
          <t xml:space="preserve">Das eingegebene Land wird hervorgehoben. Bei mehreren Treffern: das erste gefundene.
</t>
        </r>
        <r>
          <rPr>
            <sz val="8"/>
            <color indexed="81"/>
            <rFont val="Tahoma"/>
          </rPr>
          <t xml:space="preserve">
</t>
        </r>
      </text>
    </comment>
    <comment ref="E6" authorId="0">
      <text>
        <r>
          <rPr>
            <b/>
            <sz val="8"/>
            <color indexed="81"/>
            <rFont val="Tahoma"/>
          </rPr>
          <t>Keine Endspiele: jeder gegen jeden der vier</t>
        </r>
        <r>
          <rPr>
            <sz val="8"/>
            <color indexed="81"/>
            <rFont val="Tahoma"/>
          </rPr>
          <t xml:space="preserve">
</t>
        </r>
      </text>
    </comment>
    <comment ref="E17" authorId="0">
      <text>
        <r>
          <rPr>
            <b/>
            <sz val="8"/>
            <color indexed="81"/>
            <rFont val="Tahoma"/>
          </rPr>
          <t>3 : 2</t>
        </r>
        <r>
          <rPr>
            <sz val="8"/>
            <color indexed="81"/>
            <rFont val="Tahoma"/>
          </rPr>
          <t xml:space="preserve">
</t>
        </r>
      </text>
    </comment>
    <comment ref="E20" authorId="0">
      <text>
        <r>
          <rPr>
            <b/>
            <sz val="8"/>
            <color indexed="81"/>
            <rFont val="Tahoma"/>
          </rPr>
          <t>6 : 4</t>
        </r>
        <r>
          <rPr>
            <sz val="8"/>
            <color indexed="81"/>
            <rFont val="Tahoma"/>
          </rPr>
          <t xml:space="preserve">
</t>
        </r>
      </text>
    </comment>
    <comment ref="D31" authorId="0">
      <text>
        <r>
          <rPr>
            <b/>
            <sz val="8"/>
            <color indexed="81"/>
            <rFont val="Tahoma"/>
          </rPr>
          <t>Wo's um was ging.
(ohne Spiel um Platz 3)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WF</author>
  </authors>
  <commentList>
    <comment ref="A1" authorId="0">
      <text>
        <r>
          <rPr>
            <b/>
            <sz val="8"/>
            <color indexed="81"/>
            <rFont val="Tahoma"/>
          </rPr>
          <t>Spalte ab A4: 
zum individuellen filtern</t>
        </r>
        <r>
          <rPr>
            <sz val="8"/>
            <color indexed="81"/>
            <rFont val="Tahoma"/>
          </rPr>
          <t xml:space="preserve">
</t>
        </r>
      </text>
    </comment>
    <comment ref="E3" authorId="0">
      <text>
        <r>
          <rPr>
            <b/>
            <sz val="8"/>
            <color indexed="81"/>
            <rFont val="Tahoma"/>
          </rPr>
          <t>War den Europäern zu weit und  zu  teuer nach der Weltwirtschaftskrise.
kein Viertelfinale</t>
        </r>
        <r>
          <rPr>
            <sz val="8"/>
            <color indexed="81"/>
            <rFont val="Tahoma"/>
          </rPr>
          <t xml:space="preserve">
</t>
        </r>
      </text>
    </comment>
    <comment ref="G3" authorId="0">
      <text>
        <r>
          <rPr>
            <b/>
            <sz val="8"/>
            <color indexed="81"/>
            <rFont val="Tahoma"/>
          </rPr>
          <t>Österreich fiel aus:
großdeutsches Reich</t>
        </r>
        <r>
          <rPr>
            <sz val="8"/>
            <color indexed="81"/>
            <rFont val="Tahoma"/>
          </rPr>
          <t xml:space="preserve">
</t>
        </r>
      </text>
    </comment>
    <comment ref="H3" authorId="0">
      <text>
        <r>
          <rPr>
            <b/>
            <sz val="8"/>
            <color indexed="81"/>
            <rFont val="Tahoma"/>
          </rPr>
          <t>Absagen von
Türkei, Schottland, Indien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kein Viertelfinale</t>
        </r>
      </text>
    </comment>
    <comment ref="N3" authorId="0">
      <text>
        <r>
          <rPr>
            <b/>
            <sz val="8"/>
            <color indexed="81"/>
            <rFont val="Tahoma"/>
          </rPr>
          <t>kein Viertelfinale - das F sind die Dritten und Vierten der 2. Finalrunde.</t>
        </r>
        <r>
          <rPr>
            <sz val="8"/>
            <color indexed="81"/>
            <rFont val="Tahoma"/>
          </rPr>
          <t xml:space="preserve">
</t>
        </r>
      </text>
    </comment>
    <comment ref="O3" authorId="0">
      <text>
        <r>
          <rPr>
            <b/>
            <sz val="8"/>
            <color indexed="81"/>
            <rFont val="Tahoma"/>
          </rPr>
          <t>kein Viertelfinale - das F sind die Dritten und Vierten der 2. Finalrunde.</t>
        </r>
        <r>
          <rPr>
            <sz val="8"/>
            <color indexed="81"/>
            <rFont val="Tahoma"/>
          </rPr>
          <t xml:space="preserve">
</t>
        </r>
      </text>
    </comment>
    <comment ref="P3" authorId="0">
      <text>
        <r>
          <rPr>
            <b/>
            <sz val="8"/>
            <color indexed="81"/>
            <rFont val="Tahoma"/>
          </rPr>
          <t>kein Viertelfinale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4 DreierGruppen</t>
        </r>
      </text>
    </comment>
    <comment ref="B30" authorId="0">
      <text>
        <r>
          <rPr>
            <b/>
            <sz val="8"/>
            <color indexed="81"/>
            <rFont val="Tahoma"/>
          </rPr>
          <t>1938: niederländisch Indien</t>
        </r>
        <r>
          <rPr>
            <sz val="8"/>
            <color indexed="81"/>
            <rFont val="Tahoma"/>
          </rPr>
          <t xml:space="preserve">
</t>
        </r>
      </text>
    </comment>
    <comment ref="B41" authorId="0">
      <text>
        <r>
          <rPr>
            <b/>
            <sz val="8"/>
            <color indexed="81"/>
            <rFont val="Tahoma"/>
          </rPr>
          <t>1974: Zaire</t>
        </r>
        <r>
          <rPr>
            <sz val="8"/>
            <color indexed="81"/>
            <rFont val="Tahoma"/>
          </rPr>
          <t xml:space="preserve">
</t>
        </r>
      </text>
    </comment>
    <comment ref="B58" authorId="0">
      <text>
        <r>
          <rPr>
            <b/>
            <sz val="8"/>
            <color indexed="81"/>
            <rFont val="Tahoma"/>
          </rPr>
          <t>bis 1990: Sowjetunion</t>
        </r>
        <r>
          <rPr>
            <sz val="8"/>
            <color indexed="81"/>
            <rFont val="Tahoma"/>
          </rPr>
          <t xml:space="preserve">
</t>
        </r>
      </text>
    </comment>
    <comment ref="B64" authorId="0">
      <text>
        <r>
          <rPr>
            <b/>
            <sz val="8"/>
            <color indexed="81"/>
            <rFont val="Tahoma"/>
          </rPr>
          <t>bis 2003: Jugoslawien</t>
        </r>
        <r>
          <rPr>
            <sz val="8"/>
            <color indexed="81"/>
            <rFont val="Tahoma"/>
          </rPr>
          <t xml:space="preserve">
</t>
        </r>
      </text>
    </comment>
    <comment ref="B72" authorId="0">
      <text>
        <r>
          <rPr>
            <b/>
            <sz val="8"/>
            <color indexed="81"/>
            <rFont val="Tahoma"/>
          </rPr>
          <t>bis 1990 Tschecheslowakei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WF</author>
  </authors>
  <commentList>
    <comment ref="A1" authorId="0">
      <text>
        <r>
          <rPr>
            <b/>
            <sz val="8"/>
            <color indexed="81"/>
            <rFont val="Tahoma"/>
          </rPr>
          <t>zum individuellen filtern</t>
        </r>
        <r>
          <rPr>
            <sz val="8"/>
            <color indexed="81"/>
            <rFont val="Tahoma"/>
          </rPr>
          <t xml:space="preserve">
</t>
        </r>
      </text>
    </comment>
    <comment ref="D1" authorId="0">
      <text>
        <r>
          <rPr>
            <b/>
            <sz val="8"/>
            <color indexed="81"/>
            <rFont val="Tahoma"/>
          </rPr>
          <t>Diese Jahreszahl wird eingefärbt.</t>
        </r>
        <r>
          <rPr>
            <sz val="8"/>
            <color indexed="81"/>
            <rFont val="Tahoma"/>
          </rPr>
          <t xml:space="preserve">
</t>
        </r>
      </text>
    </comment>
    <comment ref="V5" authorId="0">
      <text>
        <r>
          <rPr>
            <b/>
            <sz val="8"/>
            <color indexed="81"/>
            <rFont val="Tahoma"/>
          </rPr>
          <t>5:3</t>
        </r>
        <r>
          <rPr>
            <sz val="8"/>
            <color indexed="81"/>
            <rFont val="Tahoma"/>
          </rPr>
          <t xml:space="preserve">
</t>
        </r>
      </text>
    </comment>
    <comment ref="R16" authorId="0">
      <text>
        <r>
          <rPr>
            <b/>
            <sz val="8"/>
            <color indexed="81"/>
            <rFont val="Tahoma"/>
          </rPr>
          <t>4:3</t>
        </r>
        <r>
          <rPr>
            <sz val="8"/>
            <color indexed="81"/>
            <rFont val="Tahoma"/>
          </rPr>
          <t xml:space="preserve">
</t>
        </r>
      </text>
    </comment>
    <comment ref="P17" authorId="0">
      <text>
        <r>
          <rPr>
            <b/>
            <sz val="8"/>
            <color indexed="81"/>
            <rFont val="Tahoma"/>
          </rPr>
          <t>8:7</t>
        </r>
        <r>
          <rPr>
            <sz val="8"/>
            <color indexed="81"/>
            <rFont val="Tahoma"/>
          </rPr>
          <t xml:space="preserve">
</t>
        </r>
      </text>
    </comment>
    <comment ref="Q27" authorId="0">
      <text>
        <r>
          <rPr>
            <b/>
            <sz val="8"/>
            <color indexed="81"/>
            <rFont val="Tahoma"/>
          </rPr>
          <t>4:1</t>
        </r>
        <r>
          <rPr>
            <sz val="8"/>
            <color indexed="81"/>
            <rFont val="Tahoma"/>
          </rPr>
          <t xml:space="preserve">
</t>
        </r>
      </text>
    </comment>
    <comment ref="P29" authorId="0">
      <text>
        <r>
          <rPr>
            <b/>
            <sz val="8"/>
            <color indexed="81"/>
            <rFont val="Tahoma"/>
          </rPr>
          <t>Algerien verarschen</t>
        </r>
        <r>
          <rPr>
            <sz val="8"/>
            <color indexed="81"/>
            <rFont val="Tahoma"/>
          </rPr>
          <t xml:space="preserve">
</t>
        </r>
      </text>
    </comment>
    <comment ref="B39" authorId="0">
      <text>
        <r>
          <rPr>
            <b/>
            <sz val="8"/>
            <color indexed="81"/>
            <rFont val="Tahoma"/>
          </rPr>
          <t>früher: Jugoslawien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WF</author>
    <author>Ein geschätzter Microsoft Office Anwender</author>
  </authors>
  <commentList>
    <comment ref="I1" authorId="0">
      <text>
        <r>
          <rPr>
            <b/>
            <sz val="8"/>
            <color indexed="81"/>
            <rFont val="Tahoma"/>
          </rPr>
          <t>ohne Elfmeterschießen</t>
        </r>
        <r>
          <rPr>
            <sz val="8"/>
            <color indexed="81"/>
            <rFont val="Tahoma"/>
          </rPr>
          <t xml:space="preserve">
</t>
        </r>
      </text>
    </comment>
    <comment ref="A5" authorId="1">
      <text>
        <r>
          <rPr>
            <sz val="8"/>
            <color indexed="81"/>
            <rFont val="Tahoma"/>
          </rPr>
          <t>Falls ein Losentscheid o.ä. erforderlich wird:
Neben der glücklichen Mannschaft U, F oder L eingeben.
(UEFA-Rangliste / Fair Play-Liste / Los)</t>
        </r>
      </text>
    </comment>
    <comment ref="G75" authorId="0">
      <text>
        <r>
          <rPr>
            <b/>
            <sz val="8"/>
            <color indexed="81"/>
            <rFont val="Tahoma"/>
          </rPr>
          <t>5 : 3</t>
        </r>
        <r>
          <rPr>
            <sz val="8"/>
            <color indexed="81"/>
            <rFont val="Tahoma"/>
          </rPr>
          <t xml:space="preserve">
</t>
        </r>
      </text>
    </comment>
    <comment ref="G80" authorId="0">
      <text>
        <r>
          <rPr>
            <b/>
            <sz val="8"/>
            <color indexed="81"/>
            <rFont val="Tahoma"/>
          </rPr>
          <t xml:space="preserve">5 : 3
</t>
        </r>
        <r>
          <rPr>
            <sz val="8"/>
            <color indexed="81"/>
            <rFont val="Tahoma"/>
          </rPr>
          <t xml:space="preserve">
</t>
        </r>
      </text>
    </comment>
    <comment ref="E99" authorId="0">
      <text>
        <r>
          <rPr>
            <b/>
            <sz val="8"/>
            <color indexed="81"/>
            <rFont val="Tahoma"/>
          </rPr>
          <t>Punkte Vorrunde: real
Achtelfinaleinzug: 10
Achtelfinalsieger: 10
Viertelfinalsieger: 10
Halbfinalsieger: 20
3. Platz: 10
Weltmeister: 10</t>
        </r>
        <r>
          <rPr>
            <sz val="8"/>
            <color indexed="81"/>
            <rFont val="Tahoma"/>
          </rPr>
          <t xml:space="preserve">
</t>
        </r>
      </text>
    </comment>
    <comment ref="G99" authorId="0">
      <text>
        <r>
          <rPr>
            <b/>
            <sz val="8"/>
            <color indexed="81"/>
            <rFont val="Tahoma"/>
          </rPr>
          <t>Vorrunde / Finals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Für die Platzierung wurden nur die Tore der Vorrunde berücksichtigt.</t>
        </r>
      </text>
    </comment>
  </commentList>
</comments>
</file>

<file path=xl/comments5.xml><?xml version="1.0" encoding="utf-8"?>
<comments xmlns="http://schemas.openxmlformats.org/spreadsheetml/2006/main">
  <authors>
    <author>WF</author>
    <author>Ein geschätzter Microsoft Office Anwender</author>
  </authors>
  <commentList>
    <comment ref="H1" authorId="0">
      <text>
        <r>
          <rPr>
            <b/>
            <sz val="8"/>
            <color indexed="81"/>
            <rFont val="Tahoma"/>
          </rPr>
          <t>blau ist der nächste Tag bei uns</t>
        </r>
        <r>
          <rPr>
            <sz val="8"/>
            <color indexed="81"/>
            <rFont val="Tahoma"/>
          </rPr>
          <t xml:space="preserve">
</t>
        </r>
      </text>
    </comment>
    <comment ref="AS1" authorId="0">
      <text>
        <r>
          <rPr>
            <b/>
            <sz val="8"/>
            <color indexed="81"/>
            <rFont val="Tahoma"/>
          </rPr>
          <t>ohne Elfmeterschießen</t>
        </r>
        <r>
          <rPr>
            <sz val="8"/>
            <color indexed="81"/>
            <rFont val="Tahoma"/>
          </rPr>
          <t xml:space="preserve">
</t>
        </r>
      </text>
    </comment>
    <comment ref="A5" authorId="1">
      <text>
        <r>
          <rPr>
            <sz val="8"/>
            <color indexed="81"/>
            <rFont val="Tahoma"/>
          </rPr>
          <t>Falls ein Losentscheid o.ä. erforderlich wird:
Neben der glücklichen Mannschaft U, F oder L eingeben.
(UEFA-Rangliste / Fair Play-Liste / Los)</t>
        </r>
      </text>
    </comment>
    <comment ref="E345" authorId="0">
      <text>
        <r>
          <rPr>
            <b/>
            <sz val="8"/>
            <color indexed="81"/>
            <rFont val="Tahoma"/>
          </rPr>
          <t>Punkte Vorrunde: real
Achtelfinaleinzug: 10
Achtelfinalsieger: 10
Viertelfinalsieger: 10
Halbfinalsieger: 20
3. Platz: 10
Weltmeister: 10</t>
        </r>
        <r>
          <rPr>
            <sz val="8"/>
            <color indexed="81"/>
            <rFont val="Tahoma"/>
          </rPr>
          <t xml:space="preserve">
</t>
        </r>
      </text>
    </comment>
    <comment ref="G345" authorId="0">
      <text>
        <r>
          <rPr>
            <b/>
            <sz val="8"/>
            <color indexed="81"/>
            <rFont val="Tahoma"/>
          </rPr>
          <t>Vorrunde / Finals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Für die Platzierung wurden nur die Tore der Vorrunde berücksichtigt.</t>
        </r>
      </text>
    </comment>
  </commentList>
</comments>
</file>

<file path=xl/sharedStrings.xml><?xml version="1.0" encoding="utf-8"?>
<sst xmlns="http://schemas.openxmlformats.org/spreadsheetml/2006/main" count="2103" uniqueCount="450">
  <si>
    <t>Gruppe A</t>
  </si>
  <si>
    <t>Sp.</t>
  </si>
  <si>
    <t>Punkte</t>
  </si>
  <si>
    <t>Diff.</t>
  </si>
  <si>
    <t>+</t>
  </si>
  <si>
    <t xml:space="preserve">- </t>
  </si>
  <si>
    <t>s</t>
  </si>
  <si>
    <t>u</t>
  </si>
  <si>
    <t>n</t>
  </si>
  <si>
    <t>1  /  2</t>
  </si>
  <si>
    <t>2  /  3</t>
  </si>
  <si>
    <t>3  /  4</t>
  </si>
  <si>
    <t>#######</t>
  </si>
  <si>
    <t>Pkt</t>
  </si>
  <si>
    <t>-</t>
  </si>
  <si>
    <t>Pkte</t>
  </si>
  <si>
    <t>Diff</t>
  </si>
  <si>
    <t>Spiele</t>
  </si>
  <si>
    <t>Gruppe B</t>
  </si>
  <si>
    <t>Gruppe C</t>
  </si>
  <si>
    <t>Brasilien</t>
  </si>
  <si>
    <t>Gruppe D</t>
  </si>
  <si>
    <t>Viertelfinale</t>
  </si>
  <si>
    <t>Halbfinale</t>
  </si>
  <si>
    <t>Gruppe E</t>
  </si>
  <si>
    <t>Deutschland</t>
  </si>
  <si>
    <t>Gruppe F</t>
  </si>
  <si>
    <t>Gruppe G</t>
  </si>
  <si>
    <t>Gruppe H</t>
  </si>
  <si>
    <t xml:space="preserve">Weltmeister: </t>
  </si>
  <si>
    <t>Costa Rica</t>
  </si>
  <si>
    <t>Polen</t>
  </si>
  <si>
    <t>Ecuador</t>
  </si>
  <si>
    <t>England</t>
  </si>
  <si>
    <t>Paraguay</t>
  </si>
  <si>
    <t>Schweden</t>
  </si>
  <si>
    <t>Argentinien</t>
  </si>
  <si>
    <t>Holland</t>
  </si>
  <si>
    <t>Mexico</t>
  </si>
  <si>
    <t>Iran</t>
  </si>
  <si>
    <t>Angola</t>
  </si>
  <si>
    <t>Portugal</t>
  </si>
  <si>
    <t>Italien</t>
  </si>
  <si>
    <t>Ghana</t>
  </si>
  <si>
    <t>USA</t>
  </si>
  <si>
    <t>Kroatien</t>
  </si>
  <si>
    <t>Australien</t>
  </si>
  <si>
    <t>Japan</t>
  </si>
  <si>
    <t>Frankreich</t>
  </si>
  <si>
    <t>Schweiz</t>
  </si>
  <si>
    <t>Togo</t>
  </si>
  <si>
    <t>Spanien</t>
  </si>
  <si>
    <t>Ukraine</t>
  </si>
  <si>
    <t>Tunesien</t>
  </si>
  <si>
    <t>Serbien</t>
  </si>
  <si>
    <t>A</t>
  </si>
  <si>
    <t>B</t>
  </si>
  <si>
    <t>C</t>
  </si>
  <si>
    <t>D</t>
  </si>
  <si>
    <t>Nordkorea</t>
  </si>
  <si>
    <t>Südkorea</t>
  </si>
  <si>
    <t>Südafrika</t>
  </si>
  <si>
    <t>Kamerun</t>
  </si>
  <si>
    <t>Neuseeland</t>
  </si>
  <si>
    <t>Dänemark</t>
  </si>
  <si>
    <t>Slowakei</t>
  </si>
  <si>
    <t>Chile</t>
  </si>
  <si>
    <t>Nigeria</t>
  </si>
  <si>
    <t>Honduras</t>
  </si>
  <si>
    <t>Algerien</t>
  </si>
  <si>
    <t>Griechenland</t>
  </si>
  <si>
    <t>Slowenien</t>
  </si>
  <si>
    <t>Uruguay</t>
  </si>
  <si>
    <t>WM 2010 - Südafrika</t>
  </si>
  <si>
    <t>17.06. - 13:30</t>
  </si>
  <si>
    <t>11.07. - 20:30</t>
  </si>
  <si>
    <t>12.06. - 13:30</t>
  </si>
  <si>
    <t>12.06. - 20:30</t>
  </si>
  <si>
    <t>14.06. - 13:30</t>
  </si>
  <si>
    <t>14.06. - 20:30</t>
  </si>
  <si>
    <t>15.06. - 16:00</t>
  </si>
  <si>
    <t>16.06. - 13:30</t>
  </si>
  <si>
    <t>26.06. - 16:00</t>
  </si>
  <si>
    <t>26.06. - 20:30</t>
  </si>
  <si>
    <t>27.06. - 16:00</t>
  </si>
  <si>
    <t>27.06. - 20:30</t>
  </si>
  <si>
    <t>28.06. - 16:00</t>
  </si>
  <si>
    <t>28.06. - 20:30</t>
  </si>
  <si>
    <t>29.06. - 16:00</t>
  </si>
  <si>
    <t>29.06. - 20:30</t>
  </si>
  <si>
    <t>02.07. - 16:00</t>
  </si>
  <si>
    <t>02.07. - 20:30</t>
  </si>
  <si>
    <t>03.07. - 16:00</t>
  </si>
  <si>
    <t>03.07. - 20:30</t>
  </si>
  <si>
    <t>06.07. - 20:30</t>
  </si>
  <si>
    <t>07.07. - 20:30</t>
  </si>
  <si>
    <t>10.07. - 20:30</t>
  </si>
  <si>
    <t>12.06. - 16:00</t>
  </si>
  <si>
    <t>13.06. - 13:30</t>
  </si>
  <si>
    <t>13.06. - 20:30</t>
  </si>
  <si>
    <t>15.06. - 13:30</t>
  </si>
  <si>
    <t>15.06. - 20:30</t>
  </si>
  <si>
    <t>16.06. - 16:00</t>
  </si>
  <si>
    <t>18.06. - 13:30</t>
  </si>
  <si>
    <t>19.06. - 13:30</t>
  </si>
  <si>
    <t>23.06. - 20:30</t>
  </si>
  <si>
    <t/>
  </si>
  <si>
    <t>22.06. - 20:30</t>
  </si>
  <si>
    <t>17.06. - 16:00</t>
  </si>
  <si>
    <t>23.06. - 16:00</t>
  </si>
  <si>
    <t>18.06. - 16:00</t>
  </si>
  <si>
    <t>24.06. - 16:00</t>
  </si>
  <si>
    <t>24.06. - 20:30</t>
  </si>
  <si>
    <t>19.06. - 20:30</t>
  </si>
  <si>
    <t>20.06. - 13:30</t>
  </si>
  <si>
    <t>20.06. - 16:00</t>
  </si>
  <si>
    <t>25.06. - 16:00</t>
  </si>
  <si>
    <t>20.06. - 20:30</t>
  </si>
  <si>
    <t>21.06. - 13:30</t>
  </si>
  <si>
    <t>25.06. - 20:30</t>
  </si>
  <si>
    <t>21.06. - 16:00</t>
  </si>
  <si>
    <t>21.06. - 20:30</t>
  </si>
  <si>
    <t xml:space="preserve">9 </t>
  </si>
  <si>
    <t xml:space="preserve">6 </t>
  </si>
  <si>
    <t xml:space="preserve">1 </t>
  </si>
  <si>
    <t xml:space="preserve">7 </t>
  </si>
  <si>
    <t xml:space="preserve">5 </t>
  </si>
  <si>
    <t xml:space="preserve">3 </t>
  </si>
  <si>
    <t xml:space="preserve">0 </t>
  </si>
  <si>
    <t xml:space="preserve">4 </t>
  </si>
  <si>
    <t xml:space="preserve">2 </t>
  </si>
  <si>
    <t xml:space="preserve"> Achtelfinale</t>
  </si>
  <si>
    <t xml:space="preserve"> Viertelfinale</t>
  </si>
  <si>
    <t xml:space="preserve"> Halbfinale</t>
  </si>
  <si>
    <t xml:space="preserve"> Spiel um Platz 3</t>
  </si>
  <si>
    <t>19.06. - 16:00</t>
  </si>
  <si>
    <t>E</t>
  </si>
  <si>
    <t>F</t>
  </si>
  <si>
    <t>G</t>
  </si>
  <si>
    <t>H</t>
  </si>
  <si>
    <t>Deutschland - 3</t>
  </si>
  <si>
    <t>Weltmeister</t>
  </si>
  <si>
    <t>2.</t>
  </si>
  <si>
    <t>3.</t>
  </si>
  <si>
    <t>4.</t>
  </si>
  <si>
    <t>Ungarn</t>
  </si>
  <si>
    <t>3 : 2</t>
  </si>
  <si>
    <t>4 : 2</t>
  </si>
  <si>
    <t>2 : 1</t>
  </si>
  <si>
    <t>3 : 0</t>
  </si>
  <si>
    <t>2 : 0</t>
  </si>
  <si>
    <t>Türkei</t>
  </si>
  <si>
    <t>3 : 1</t>
  </si>
  <si>
    <t>Bulgarien</t>
  </si>
  <si>
    <t>4 : 0</t>
  </si>
  <si>
    <t>1 : 0</t>
  </si>
  <si>
    <t>Mexiko</t>
  </si>
  <si>
    <t>Belgien</t>
  </si>
  <si>
    <t>5 : 2</t>
  </si>
  <si>
    <t>4 : 1</t>
  </si>
  <si>
    <t>6 : 3</t>
  </si>
  <si>
    <t>Österreich</t>
  </si>
  <si>
    <t>Japan/Südkorea</t>
  </si>
  <si>
    <t>1.</t>
  </si>
  <si>
    <t>Tschechien</t>
  </si>
  <si>
    <t>USA/Serbien</t>
  </si>
  <si>
    <t>Gastgeber</t>
  </si>
  <si>
    <t xml:space="preserve">   </t>
  </si>
  <si>
    <t>http://de.wikipedia.org/wiki/Fu%C3%9Fball-Weltmeisterschaft</t>
  </si>
  <si>
    <t>x</t>
  </si>
  <si>
    <t>Bolivien</t>
  </si>
  <si>
    <t>Peru</t>
  </si>
  <si>
    <t>Rumänien</t>
  </si>
  <si>
    <t>Ägypten</t>
  </si>
  <si>
    <t>Kuba</t>
  </si>
  <si>
    <t>Indonesien</t>
  </si>
  <si>
    <t>Norwegen</t>
  </si>
  <si>
    <t>Schottland</t>
  </si>
  <si>
    <t>Nordirland</t>
  </si>
  <si>
    <t>Wales</t>
  </si>
  <si>
    <t>Kolumbien</t>
  </si>
  <si>
    <t>Israel</t>
  </si>
  <si>
    <t>DDR</t>
  </si>
  <si>
    <t>Haiti</t>
  </si>
  <si>
    <t>Kongo</t>
  </si>
  <si>
    <t>Kuwait</t>
  </si>
  <si>
    <t>Irak</t>
  </si>
  <si>
    <t>Kanada</t>
  </si>
  <si>
    <t>Irland</t>
  </si>
  <si>
    <t>Jamaika</t>
  </si>
  <si>
    <t>China</t>
  </si>
  <si>
    <t>Senegal</t>
  </si>
  <si>
    <t>Elfenbeinküste</t>
  </si>
  <si>
    <t>Trinidad und T.</t>
  </si>
  <si>
    <t>(1)</t>
  </si>
  <si>
    <t>(2)</t>
  </si>
  <si>
    <t>(3)</t>
  </si>
  <si>
    <t>(4)</t>
  </si>
  <si>
    <t>(5)</t>
  </si>
  <si>
    <t>(6)</t>
  </si>
  <si>
    <t>(7)</t>
  </si>
  <si>
    <t>(8)</t>
  </si>
  <si>
    <t>V1</t>
  </si>
  <si>
    <t>V2</t>
  </si>
  <si>
    <t>V3</t>
  </si>
  <si>
    <t>V4</t>
  </si>
  <si>
    <t>13.06. - 16:00</t>
  </si>
  <si>
    <t>14.06. - 16:00</t>
  </si>
  <si>
    <t>paßt auch</t>
  </si>
  <si>
    <t xml:space="preserve">  </t>
  </si>
  <si>
    <t>finals</t>
  </si>
  <si>
    <t>Russland</t>
  </si>
  <si>
    <t>achtel</t>
  </si>
  <si>
    <t>viertel</t>
  </si>
  <si>
    <t>halb</t>
  </si>
  <si>
    <t>dritter</t>
  </si>
  <si>
    <t>erster</t>
  </si>
  <si>
    <t>3:4</t>
  </si>
  <si>
    <t>0:2</t>
  </si>
  <si>
    <t>2:4</t>
  </si>
  <si>
    <t>1:0</t>
  </si>
  <si>
    <t>3:2</t>
  </si>
  <si>
    <t>2:1</t>
  </si>
  <si>
    <t>4:0</t>
  </si>
  <si>
    <t>0:1</t>
  </si>
  <si>
    <t>1:3</t>
  </si>
  <si>
    <t>2:3</t>
  </si>
  <si>
    <t>8:0</t>
  </si>
  <si>
    <t>3:6</t>
  </si>
  <si>
    <t>3:1</t>
  </si>
  <si>
    <t>2:0</t>
  </si>
  <si>
    <t>4:2</t>
  </si>
  <si>
    <t>3:0</t>
  </si>
  <si>
    <t>1:2</t>
  </si>
  <si>
    <t>1:1</t>
  </si>
  <si>
    <t>2:2</t>
  </si>
  <si>
    <t>0:3</t>
  </si>
  <si>
    <t>4:1</t>
  </si>
  <si>
    <t>5:1</t>
  </si>
  <si>
    <t>4:3</t>
  </si>
  <si>
    <t>0:0</t>
  </si>
  <si>
    <t>6:0</t>
  </si>
  <si>
    <t>5:2</t>
  </si>
  <si>
    <t>5:0</t>
  </si>
  <si>
    <t>6:1</t>
  </si>
  <si>
    <t>Siege</t>
  </si>
  <si>
    <t>Niederlagen</t>
  </si>
  <si>
    <t>3:8</t>
  </si>
  <si>
    <t>7:2</t>
  </si>
  <si>
    <t>Bilanz aller WM-Elfmeterschießen seit 1982</t>
  </si>
  <si>
    <t>Saudi-Ar.</t>
  </si>
  <si>
    <t>Argentinien 3:1 13:12</t>
  </si>
  <si>
    <t>Brasilien 2:1 10:9</t>
  </si>
  <si>
    <t>Frankreich 2:2 15:16</t>
  </si>
  <si>
    <t>Ukraine 1:0 3:0</t>
  </si>
  <si>
    <t>Bulgarien 1:0 3:1</t>
  </si>
  <si>
    <t>Portugal 1:0 3:1</t>
  </si>
  <si>
    <t>Südkorea 1:0 5:3</t>
  </si>
  <si>
    <t>Belgien 1:0 5:4</t>
  </si>
  <si>
    <t xml:space="preserve">Schweden 1:0 5:4 </t>
  </si>
  <si>
    <t>Irland 1:1 7:7</t>
  </si>
  <si>
    <t>Spanien 1:2 10:12</t>
  </si>
  <si>
    <t>Italien 1:3 13:14</t>
  </si>
  <si>
    <t>Niederlande 0:1 3: 4</t>
  </si>
  <si>
    <t>Schweiz 0:1 0: 3</t>
  </si>
  <si>
    <t>Rumänien 0:2 8:10</t>
  </si>
  <si>
    <t>Mexiko 0:2 2: 7</t>
  </si>
  <si>
    <t xml:space="preserve">England 0:3 7:10 </t>
  </si>
  <si>
    <t>5.</t>
  </si>
  <si>
    <t>13.</t>
  </si>
  <si>
    <t>14.</t>
  </si>
  <si>
    <t>15.</t>
  </si>
  <si>
    <t>16.</t>
  </si>
  <si>
    <t>17.</t>
  </si>
  <si>
    <t>Paraguay 1:0 5:3</t>
  </si>
  <si>
    <t>Japan 0:1 3:5</t>
  </si>
  <si>
    <t>20.</t>
  </si>
  <si>
    <t>21.</t>
  </si>
  <si>
    <t>SA</t>
  </si>
  <si>
    <t>NA</t>
  </si>
  <si>
    <t>Uruguay 1:0 5:3</t>
  </si>
  <si>
    <t>22.</t>
  </si>
  <si>
    <t>Ghana 0:1 3:5</t>
  </si>
  <si>
    <t>23.</t>
  </si>
  <si>
    <t>7.</t>
  </si>
  <si>
    <t>10.</t>
  </si>
  <si>
    <t>12.</t>
  </si>
  <si>
    <t>19.</t>
  </si>
  <si>
    <t>Tore</t>
  </si>
  <si>
    <t xml:space="preserve">  Platzierung aller Teams</t>
  </si>
  <si>
    <t xml:space="preserve">Serbien 0:1 2: 3 </t>
  </si>
  <si>
    <t>Das Spiel um Platz 3 interessiert keine Sau: ersatzlos streichen.</t>
  </si>
  <si>
    <t xml:space="preserve"> Finale</t>
  </si>
  <si>
    <t>Ronaldo</t>
  </si>
  <si>
    <t>1998 (4), 2002 (8), 2006 (3)</t>
  </si>
  <si>
    <t xml:space="preserve">Miroslav Klose </t>
  </si>
  <si>
    <t>2002 (5), 2006 (5), 2010 (4)</t>
  </si>
  <si>
    <t xml:space="preserve">Gerd Müller </t>
  </si>
  <si>
    <t>1970 (10), 1974 (4)</t>
  </si>
  <si>
    <t xml:space="preserve">Just Fontaine </t>
  </si>
  <si>
    <t xml:space="preserve">Pelé </t>
  </si>
  <si>
    <t>1958 (6), 1962 (1), 1966 (1), 1970 (4)</t>
  </si>
  <si>
    <t xml:space="preserve">Jürgen Klinsmann </t>
  </si>
  <si>
    <t>1990 (3), 1994 (5), 1998 (3)</t>
  </si>
  <si>
    <t>1954 (11)</t>
  </si>
  <si>
    <t xml:space="preserve">Gabriel Batistuta </t>
  </si>
  <si>
    <t>1994 (4), 1998 (5), 2002 (1)</t>
  </si>
  <si>
    <t>1970 (5), 1978 (5)</t>
  </si>
  <si>
    <t xml:space="preserve">Grzegorz Lato </t>
  </si>
  <si>
    <t>1974 (7), 1978 (2), 1982 (1)</t>
  </si>
  <si>
    <t xml:space="preserve">Gary Lineker </t>
  </si>
  <si>
    <t>1986 (6), 1990 (4)</t>
  </si>
  <si>
    <t xml:space="preserve">Helmut Rahn </t>
  </si>
  <si>
    <t>1954 (4), 1958 (6)</t>
  </si>
  <si>
    <t>v. Ar. Emirate</t>
  </si>
  <si>
    <t>zum Sortieren: Spalte J:O nach O</t>
  </si>
  <si>
    <t>H1</t>
  </si>
  <si>
    <t>H2</t>
  </si>
  <si>
    <t>Katar</t>
  </si>
  <si>
    <t>Unentschieden</t>
  </si>
  <si>
    <t>zur Kontrolle</t>
  </si>
  <si>
    <t>muss gleich sein</t>
  </si>
  <si>
    <t>El SalVador</t>
  </si>
  <si>
    <t>um Platz 3</t>
  </si>
  <si>
    <t xml:space="preserve"> </t>
  </si>
  <si>
    <t>Holland - 2</t>
  </si>
  <si>
    <t>Spanien - 1</t>
  </si>
  <si>
    <t>Uruguay - 4</t>
  </si>
  <si>
    <t>neu - 2014</t>
  </si>
  <si>
    <t>Deutschland 4:0 Siege 16:9 Tore</t>
  </si>
  <si>
    <t>mit ZÄHLENWENN wie EM</t>
  </si>
  <si>
    <t>6 (16)</t>
  </si>
  <si>
    <t>4 (16)</t>
  </si>
  <si>
    <t>7 (16)</t>
  </si>
  <si>
    <t>2 (15)</t>
  </si>
  <si>
    <t>7 (24)</t>
  </si>
  <si>
    <t>5 (24)</t>
  </si>
  <si>
    <t>5 (32)</t>
  </si>
  <si>
    <t>7 (32)</t>
  </si>
  <si>
    <t>Endspiel</t>
  </si>
  <si>
    <t>v</t>
  </si>
  <si>
    <t>v = Viertelfinale</t>
  </si>
  <si>
    <t>f = Finalrunde</t>
  </si>
  <si>
    <t>f</t>
  </si>
  <si>
    <t>v. Arab. Emirate</t>
  </si>
  <si>
    <t>Vorrunde</t>
  </si>
  <si>
    <t>2. Finalrunde</t>
  </si>
  <si>
    <r>
      <t>0 : 0</t>
    </r>
    <r>
      <rPr>
        <sz val="11"/>
        <rFont val="Arial"/>
        <family val="2"/>
      </rPr>
      <t xml:space="preserve"> i.E.</t>
    </r>
  </si>
  <si>
    <r>
      <t>1 : 1</t>
    </r>
    <r>
      <rPr>
        <sz val="11"/>
        <rFont val="Arial"/>
        <family val="2"/>
      </rPr>
      <t xml:space="preserve"> i.E.</t>
    </r>
  </si>
  <si>
    <t xml:space="preserve">Teofilo Cubillas </t>
  </si>
  <si>
    <t xml:space="preserve">Sandor Kocsis </t>
  </si>
  <si>
    <r>
      <t>1958 (</t>
    </r>
    <r>
      <rPr>
        <b/>
        <sz val="11"/>
        <color indexed="12"/>
        <rFont val="Arial"/>
        <family val="2"/>
      </rPr>
      <t>13</t>
    </r>
    <r>
      <rPr>
        <sz val="11"/>
        <rFont val="Arial"/>
      </rPr>
      <t>)</t>
    </r>
  </si>
  <si>
    <t>AS</t>
  </si>
  <si>
    <t>SS</t>
  </si>
  <si>
    <t>http://www.weltfussball.de/spielbericht/</t>
  </si>
  <si>
    <t>letzter Gegner</t>
  </si>
  <si>
    <t>Endstation</t>
  </si>
  <si>
    <t>WM 2014 - Brasilien</t>
  </si>
  <si>
    <t>A2</t>
  </si>
  <si>
    <t>2006: 142 Tore (2,22)</t>
  </si>
  <si>
    <t>64 Spiele, 145 Tore (2,27 im Schnitt)</t>
  </si>
  <si>
    <t xml:space="preserve">  4:0</t>
  </si>
  <si>
    <t xml:space="preserve">  7:5</t>
  </si>
  <si>
    <t xml:space="preserve">  11:4</t>
  </si>
  <si>
    <t xml:space="preserve">  7:8</t>
  </si>
  <si>
    <t>7:1</t>
  </si>
  <si>
    <t xml:space="preserve">  3:5</t>
  </si>
  <si>
    <t>6.</t>
  </si>
  <si>
    <t xml:space="preserve">  4:2</t>
  </si>
  <si>
    <t xml:space="preserve">  0:1</t>
  </si>
  <si>
    <t>8.</t>
  </si>
  <si>
    <t xml:space="preserve">  3:2</t>
  </si>
  <si>
    <t>9.</t>
  </si>
  <si>
    <t xml:space="preserve">  0:0</t>
  </si>
  <si>
    <t xml:space="preserve">  0:3</t>
  </si>
  <si>
    <t>11.</t>
  </si>
  <si>
    <t>7:0</t>
  </si>
  <si>
    <t xml:space="preserve">  1:2</t>
  </si>
  <si>
    <t xml:space="preserve">  1:4</t>
  </si>
  <si>
    <t xml:space="preserve">  1:3</t>
  </si>
  <si>
    <t>5:6</t>
  </si>
  <si>
    <t>4:5</t>
  </si>
  <si>
    <t>18.</t>
  </si>
  <si>
    <t>3:3</t>
  </si>
  <si>
    <t>3:5</t>
  </si>
  <si>
    <t>24.</t>
  </si>
  <si>
    <t>25.</t>
  </si>
  <si>
    <t>2:5</t>
  </si>
  <si>
    <t>26.</t>
  </si>
  <si>
    <t>27.</t>
  </si>
  <si>
    <t>28.</t>
  </si>
  <si>
    <t>29.</t>
  </si>
  <si>
    <t>1:4</t>
  </si>
  <si>
    <t>30.</t>
  </si>
  <si>
    <t>31.</t>
  </si>
  <si>
    <t>32.</t>
  </si>
  <si>
    <t>1:12</t>
  </si>
  <si>
    <t>http://de.wikipedia.org/wiki/Fu%C3%9Fball-Weltmeisterschaft_2014</t>
  </si>
  <si>
    <t>paßt also =19*4</t>
  </si>
  <si>
    <t>UEFA (Europa - E): 13 Teilnehmer</t>
  </si>
  <si>
    <t>CAF (Afrika - A): 5 Teilnehmer</t>
  </si>
  <si>
    <t>OFC (Ozeanien - O): 0 oder 1 Teilnehmer</t>
  </si>
  <si>
    <t>CONCACAF (Nord-, Mittelamerika, Karibik - NA): 3 oder 4 Teilnehmer</t>
  </si>
  <si>
    <t>O</t>
  </si>
  <si>
    <r>
      <t>S</t>
    </r>
    <r>
      <rPr>
        <sz val="11"/>
        <rFont val="Arial"/>
        <family val="2"/>
      </rPr>
      <t>/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>/</t>
    </r>
    <r>
      <rPr>
        <b/>
        <sz val="11"/>
        <color indexed="10"/>
        <rFont val="Arial"/>
        <family val="2"/>
      </rPr>
      <t>N</t>
    </r>
  </si>
  <si>
    <t>Urug.</t>
  </si>
  <si>
    <t>Frankr.</t>
  </si>
  <si>
    <t>Schwed.</t>
  </si>
  <si>
    <t>Deutschl.</t>
  </si>
  <si>
    <t>Argent.</t>
  </si>
  <si>
    <t>Jap+SK</t>
  </si>
  <si>
    <t>Südafr.</t>
  </si>
  <si>
    <t>Russl.</t>
  </si>
  <si>
    <t>Brasil.</t>
  </si>
  <si>
    <t>Marokko</t>
  </si>
  <si>
    <t>Saudiarabien</t>
  </si>
  <si>
    <r>
      <t>Göran Andersson</t>
    </r>
    <r>
      <rPr>
        <sz val="11"/>
        <rFont val="Arial"/>
      </rPr>
      <t xml:space="preserve"> / Enrique Ballesteros; Jose Nasazzi; Ernesto Mascheroni; José Andrade; Alvaro Gestido; Lorenzo Fernandez; Pablo Dorado; Pedro Cea; Hector Castro; Héctor Scarone; Santos Iriarte</t>
    </r>
  </si>
  <si>
    <r>
      <t>Vittorio Pozzo</t>
    </r>
    <r>
      <rPr>
        <sz val="11"/>
        <rFont val="Arial"/>
      </rPr>
      <t xml:space="preserve"> / Giampiero Combi; Luigi Allemandi; Eraldo Monzeglio; Luigi Bertolini; Attilio Ferraris; Giovanni Ferrari; Luis Monti; Angelo Schiavio; Mumo Orsi; Giuseppe Meazza; Enrico Guaita</t>
    </r>
  </si>
  <si>
    <r>
      <t>Vittorio Pozzo</t>
    </r>
    <r>
      <rPr>
        <sz val="11"/>
        <rFont val="Arial"/>
      </rPr>
      <t xml:space="preserve"> / Aldo Olivieri, Alfredo Foni, Pietro Rava, Pietro Serantoni, Miguel Andreolo, Ugo Locatelli, Amedeo Biavati, Giuseppe Meazza, Silvio Piola, Giovanni Ferrari, Gino Colaussi</t>
    </r>
  </si>
  <si>
    <r>
      <t>Juan López</t>
    </r>
    <r>
      <rPr>
        <sz val="11"/>
        <rFont val="Arial"/>
      </rPr>
      <t xml:space="preserve"> / Gaston Maspoli; Mathias Gonzales; Eusebio Tejera; Schubert Gambetta; Obdulio Varela; Victor Andrade; Alcides Ghiggia; Julio Perez; Oscar Miguez; Juan Schiaffino; Ruben Moran</t>
    </r>
  </si>
  <si>
    <r>
      <t>Sepp Herberger</t>
    </r>
    <r>
      <rPr>
        <sz val="11"/>
        <rFont val="Arial"/>
      </rPr>
      <t xml:space="preserve"> / Toni Turek; Werner Kohlmeyer; Jupp Posipal; Werner Liebrich; Horst Eckel; Charly Mai; Fritz Walter; Helmut Rahn; Max Morlock; Ottmar Walter; Hans Schäfer</t>
    </r>
  </si>
  <si>
    <r>
      <t>Vincente Italo Feola</t>
    </r>
    <r>
      <rPr>
        <sz val="11"/>
        <rFont val="Arial"/>
      </rPr>
      <t xml:space="preserve"> / Gilmar; Bellini; Djalma Santos; Nilton Santos; Didí; Mario Zagallo; Pelé; Orlando; Zito; Garrincha; Vavá</t>
    </r>
  </si>
  <si>
    <r>
      <t>Aimoré Moreira</t>
    </r>
    <r>
      <rPr>
        <sz val="11"/>
        <rFont val="Arial"/>
      </rPr>
      <t xml:space="preserve"> / Gilmar; Djalma Santos, Nílton Santos; Zito, Mauro, Zózimo; Garrincha, Didi, Vavá, Amarildo, Zagalo</t>
    </r>
  </si>
  <si>
    <r>
      <t>Alfred Ramsey</t>
    </r>
    <r>
      <rPr>
        <sz val="11"/>
        <rFont val="Arial"/>
      </rPr>
      <t xml:space="preserve"> / Gordon Banks; George Cohen; Ramon Wilson; Nobby Stiles; Jack Charlton; Bobby Moore; Alan Ball; Geoff Hurst; Bobby Charlton; Roger Hunt; Martin Peters</t>
    </r>
  </si>
  <si>
    <r>
      <t>Mario Zagallo</t>
    </r>
    <r>
      <rPr>
        <sz val="11"/>
        <rFont val="Arial"/>
      </rPr>
      <t xml:space="preserve"> / Félix; Brito; Piazza; Carlos Alberto; Everaldo; Clodoaldo; Gérson; Pelé; Rivelino; Jairzinho; Tostão</t>
    </r>
  </si>
  <si>
    <r>
      <t>Helmut Schön</t>
    </r>
    <r>
      <rPr>
        <sz val="11"/>
        <rFont val="Arial"/>
      </rPr>
      <t xml:space="preserve"> / Sepp Maier; Berti Vogts; Georg Schwarzenbeck; Franz Beckenbauer; Rainer Bonhof; Paul Breitner; Wolfgang Overath; Uli Hoeneß; Bernd Hölzenbein; Jürgen Grabowski; Gerd Müller</t>
    </r>
  </si>
  <si>
    <r>
      <t>César Luis Menotti</t>
    </r>
    <r>
      <rPr>
        <sz val="11"/>
        <rFont val="Arial"/>
      </rPr>
      <t xml:space="preserve"> / Ubaldo Fillol; Luis Galván; Jorge Olguin; Daniel Passarella; Alberto Tarantini; Osvaldo Ardiles; Américo Gallego; Daniel Bertoni; Mario Kempes; Leopoldo Luqué; Oscar Ortiz; (Rubén Larrossa); (René Houseman)</t>
    </r>
  </si>
  <si>
    <r>
      <t>Vincenzo Bearzot</t>
    </r>
    <r>
      <rPr>
        <sz val="11"/>
        <rFont val="Arial"/>
      </rPr>
      <t xml:space="preserve"> / Dino Zoff; Antonio Cabrini; Gaetano Scirea; Claudio Gentile; Fulvio Collovati; Gabriele Oriali; Giuseppe Bergomi; Marco Tardelli; Bruno Conti; Paolo Rossi; Francesco Graziani; (Alessandro Altobelli); (Franco Causio)</t>
    </r>
  </si>
  <si>
    <r>
      <t>Dr. Carlos Bilardo</t>
    </r>
    <r>
      <rPr>
        <sz val="11"/>
        <rFont val="Arial"/>
      </rPr>
      <t xml:space="preserve"> / Nery Pumpido; José Brown; José Cuciuffo; Óscar Ruggeri; Sergio Batista; Jorge Burruchaga; Diego Maradona; Héctor Adolfo Enrique; Ricardo Giusti; Julio Olarticoechea; Jorge Valdano; (Marcelo Trobbiani)</t>
    </r>
  </si>
  <si>
    <r>
      <t>Franz Beckenbauer</t>
    </r>
    <r>
      <rPr>
        <sz val="11"/>
        <rFont val="Arial"/>
      </rPr>
      <t xml:space="preserve"> / Bodo Illgner; Andreas Brehme; Jürgen Kohler; Klaus Augenthaler; Guido Buchwald; Thomas Berthold; Pierre Littbarski; Thomas Häßler; Lothar Matthäus; Rudi Völler; Jürgen Klinsmann; (Stefan Reuter)</t>
    </r>
  </si>
  <si>
    <r>
      <t>Carlos Alberto Parreira</t>
    </r>
    <r>
      <rPr>
        <sz val="11"/>
        <rFont val="Arial"/>
      </rPr>
      <t xml:space="preserve"> / Claudio André Taffarel; Jorginho; Marcio Santos; Nascimento Santos Aldair; Branco; Mazinho; Zinho; Mauro Da Silva; Carlos Dunga; Bebeto; Romario; (Cafú); (Viola)</t>
    </r>
  </si>
  <si>
    <r>
      <t>Aimé Jacquet</t>
    </r>
    <r>
      <rPr>
        <sz val="11"/>
        <rFont val="Arial"/>
      </rPr>
      <t xml:space="preserve"> / Fabien Barthez; Bixente Lizarazu; Marcel Desailly; Lilian Thuram; Frank Leboeuf; Youri Djorkaeff; Didier Deschamps; Zinedine Zidane; Emmanuel Petit; Christian Karembeu; Stéphane Guivarc'h; (Patrick Vieira); (Alain Boghossian); (Christophe Dugarry)</t>
    </r>
  </si>
  <si>
    <r>
      <t>Scolari</t>
    </r>
    <r>
      <rPr>
        <sz val="11"/>
        <rFont val="Arial"/>
      </rPr>
      <t xml:space="preserve"> / Marcos; Lucio; Edmilson; Roque Junior; Cafu; Gilberto Silva; Roberto Carlos; Kleberson; Rivaldo; Ronaldo; Ronaldinho; (Juninho Paulista); (Denilson)</t>
    </r>
  </si>
  <si>
    <r>
      <t>Marcello Lippi</t>
    </r>
    <r>
      <rPr>
        <sz val="11"/>
        <rFont val="Arial"/>
      </rPr>
      <t xml:space="preserve"> / Gianluigi Buffon; Fabio Grosso; Fabio Cannavaro; Gianluca Zambrotta; Marco Materazzi; Gennaro Gattuso; Mauro Camoranesi; Simone Perrotta; Andrea Pirlo; Luca Toni; Francesco Totti; (Daniele De Rossi); (Alessandro Del Piero); (Vincenzo Iaquinta)</t>
    </r>
  </si>
  <si>
    <r>
      <t>Vicente Del Bosque</t>
    </r>
    <r>
      <rPr>
        <sz val="11"/>
        <rFont val="Arial"/>
      </rPr>
      <t xml:space="preserve"> / Iker Casillas; Piqué; Puyol; Capdevila; Sergio Ramos; Iniesta; Xavi; Xabi Alonso; Busquets; David Villa; Pedro; (Fábregas); (Navas); (Torres)</t>
    </r>
  </si>
  <si>
    <r>
      <t>Trainer</t>
    </r>
    <r>
      <rPr>
        <b/>
        <sz val="11"/>
        <rFont val="Arial"/>
        <family val="2"/>
      </rPr>
      <t xml:space="preserve"> / Endspielteilnehmer</t>
    </r>
  </si>
  <si>
    <t>As</t>
  </si>
  <si>
    <t>Bosnien-H.</t>
  </si>
  <si>
    <t>-----</t>
  </si>
  <si>
    <t>AFC (Asien - As): 4 oder 5 Teilnehmer</t>
  </si>
  <si>
    <t>18.06. - 20:30</t>
  </si>
  <si>
    <t>11.06. - 16:00</t>
  </si>
  <si>
    <t>11.06. - 20:30</t>
  </si>
  <si>
    <t>16.06. - 20:30</t>
  </si>
  <si>
    <t>17.06. - 20:30</t>
  </si>
  <si>
    <t>22.06. - 16:00</t>
  </si>
  <si>
    <t>CONMEBOL (Südamerika - SA): Gastgeber Brasilien plus 4 oder 5 Teilnehmer</t>
  </si>
  <si>
    <t xml:space="preserve">Ortszeit Brasilien: 
minus 5 Stunden   </t>
  </si>
  <si>
    <t>klein=Gruppe</t>
  </si>
  <si>
    <t>we</t>
  </si>
</sst>
</file>

<file path=xl/styles.xml><?xml version="1.0" encoding="utf-8"?>
<styleSheet xmlns="http://schemas.openxmlformats.org/spreadsheetml/2006/main">
  <numFmts count="9">
    <numFmt numFmtId="175" formatCode="0.0"/>
    <numFmt numFmtId="178" formatCode="General&quot;.&quot;"/>
    <numFmt numFmtId="180" formatCode="General&quot; .&quot;"/>
    <numFmt numFmtId="181" formatCode="&quot;: &quot;General"/>
    <numFmt numFmtId="183" formatCode="General;;"/>
    <numFmt numFmtId="188" formatCode="General&quot;.&quot;;;"/>
    <numFmt numFmtId="190" formatCode="0.000"/>
    <numFmt numFmtId="191" formatCode="0.0000000000"/>
    <numFmt numFmtId="192" formatCode="ddd\ dd/mm/\ hh:mm"/>
  </numFmts>
  <fonts count="39">
    <font>
      <sz val="10"/>
      <name val="Arial"/>
    </font>
    <font>
      <sz val="10"/>
      <name val="Arial"/>
    </font>
    <font>
      <sz val="11"/>
      <name val="Arial"/>
    </font>
    <font>
      <b/>
      <sz val="16"/>
      <name val="Arial"/>
      <family val="2"/>
    </font>
    <font>
      <b/>
      <sz val="11"/>
      <name val="Arial"/>
    </font>
    <font>
      <b/>
      <sz val="14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</font>
    <font>
      <sz val="11"/>
      <name val="Arial"/>
      <family val="2"/>
    </font>
    <font>
      <b/>
      <sz val="16"/>
      <name val="Arial"/>
    </font>
    <font>
      <b/>
      <sz val="18"/>
      <name val="Arial"/>
      <family val="2"/>
    </font>
    <font>
      <b/>
      <sz val="11"/>
      <name val="Arial"/>
      <family val="2"/>
    </font>
    <font>
      <sz val="8"/>
      <color indexed="81"/>
      <name val="Tahoma"/>
    </font>
    <font>
      <b/>
      <sz val="11"/>
      <color indexed="12"/>
      <name val="Arial"/>
      <family val="2"/>
    </font>
    <font>
      <sz val="8"/>
      <name val="Arial"/>
    </font>
    <font>
      <b/>
      <sz val="18"/>
      <name val="Arial"/>
    </font>
    <font>
      <sz val="11"/>
      <color indexed="12"/>
      <name val="Arial"/>
    </font>
    <font>
      <sz val="11"/>
      <color indexed="10"/>
      <name val="Arial"/>
    </font>
    <font>
      <b/>
      <sz val="8"/>
      <color indexed="81"/>
      <name val="Tahoma"/>
    </font>
    <font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trike/>
      <sz val="11"/>
      <name val="Arial"/>
    </font>
    <font>
      <b/>
      <sz val="16"/>
      <color indexed="10"/>
      <name val="Arial"/>
      <family val="2"/>
    </font>
    <font>
      <sz val="11"/>
      <color indexed="56"/>
      <name val="Arial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9"/>
      <color indexed="10"/>
      <name val="Arial"/>
      <family val="2"/>
    </font>
    <font>
      <b/>
      <sz val="6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11"/>
      <color indexed="56"/>
      <name val="Arial"/>
      <family val="2"/>
    </font>
    <font>
      <b/>
      <u/>
      <sz val="11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 diagonalUp="1" diagonalDown="1">
      <left/>
      <right/>
      <top/>
      <bottom/>
      <diagonal style="thin">
        <color indexed="64"/>
      </diagonal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92">
    <xf numFmtId="0" fontId="0" fillId="0" borderId="0" xfId="0"/>
    <xf numFmtId="0" fontId="2" fillId="0" borderId="0" xfId="6" applyProtection="1">
      <protection hidden="1"/>
    </xf>
    <xf numFmtId="0" fontId="3" fillId="0" borderId="0" xfId="6" applyFont="1" applyProtection="1">
      <protection hidden="1"/>
    </xf>
    <xf numFmtId="0" fontId="2" fillId="0" borderId="0" xfId="6" applyAlignment="1" applyProtection="1">
      <alignment horizontal="left"/>
      <protection hidden="1"/>
    </xf>
    <xf numFmtId="0" fontId="4" fillId="0" borderId="0" xfId="6" applyFont="1" applyAlignment="1" applyProtection="1">
      <alignment horizontal="right"/>
      <protection hidden="1"/>
    </xf>
    <xf numFmtId="0" fontId="2" fillId="2" borderId="0" xfId="6" applyFont="1" applyFill="1" applyBorder="1" applyAlignment="1" applyProtection="1">
      <alignment horizontal="right"/>
      <protection locked="0"/>
    </xf>
    <xf numFmtId="181" fontId="2" fillId="2" borderId="0" xfId="6" applyNumberFormat="1" applyFont="1" applyFill="1" applyBorder="1" applyAlignment="1" applyProtection="1">
      <alignment horizontal="left"/>
      <protection locked="0"/>
    </xf>
    <xf numFmtId="0" fontId="5" fillId="0" borderId="1" xfId="6" applyFont="1" applyBorder="1" applyProtection="1">
      <protection hidden="1"/>
    </xf>
    <xf numFmtId="0" fontId="2" fillId="0" borderId="2" xfId="6" applyBorder="1" applyProtection="1">
      <protection hidden="1"/>
    </xf>
    <xf numFmtId="0" fontId="4" fillId="0" borderId="2" xfId="6" applyFont="1" applyBorder="1" applyProtection="1">
      <protection hidden="1"/>
    </xf>
    <xf numFmtId="0" fontId="4" fillId="0" borderId="2" xfId="6" applyFont="1" applyBorder="1" applyAlignment="1" applyProtection="1">
      <alignment horizontal="right"/>
      <protection hidden="1"/>
    </xf>
    <xf numFmtId="0" fontId="4" fillId="0" borderId="2" xfId="6" quotePrefix="1" applyFont="1" applyBorder="1" applyAlignment="1" applyProtection="1">
      <alignment horizontal="right"/>
      <protection hidden="1"/>
    </xf>
    <xf numFmtId="0" fontId="4" fillId="0" borderId="3" xfId="6" quotePrefix="1" applyFont="1" applyBorder="1" applyAlignment="1" applyProtection="1">
      <alignment horizontal="right"/>
      <protection hidden="1"/>
    </xf>
    <xf numFmtId="0" fontId="4" fillId="0" borderId="4" xfId="6" applyFont="1" applyBorder="1" applyProtection="1">
      <protection hidden="1"/>
    </xf>
    <xf numFmtId="0" fontId="2" fillId="0" borderId="0" xfId="6"/>
    <xf numFmtId="16" fontId="2" fillId="0" borderId="0" xfId="6" quotePrefix="1" applyNumberFormat="1" applyProtection="1">
      <protection hidden="1"/>
    </xf>
    <xf numFmtId="0" fontId="2" fillId="0" borderId="5" xfId="6" applyBorder="1" applyProtection="1">
      <protection hidden="1"/>
    </xf>
    <xf numFmtId="0" fontId="2" fillId="0" borderId="0" xfId="6" applyBorder="1" applyProtection="1">
      <protection hidden="1"/>
    </xf>
    <xf numFmtId="0" fontId="2" fillId="0" borderId="0" xfId="6" applyBorder="1" applyAlignment="1" applyProtection="1">
      <alignment horizontal="right"/>
      <protection hidden="1"/>
    </xf>
    <xf numFmtId="0" fontId="2" fillId="0" borderId="6" xfId="6" applyBorder="1" applyAlignment="1" applyProtection="1">
      <alignment horizontal="right"/>
      <protection hidden="1"/>
    </xf>
    <xf numFmtId="0" fontId="2" fillId="0" borderId="7" xfId="6" applyBorder="1" applyProtection="1">
      <protection hidden="1"/>
    </xf>
    <xf numFmtId="0" fontId="2" fillId="0" borderId="0" xfId="6" quotePrefix="1" applyProtection="1">
      <protection hidden="1"/>
    </xf>
    <xf numFmtId="0" fontId="2" fillId="0" borderId="0" xfId="6" applyAlignment="1" applyProtection="1">
      <alignment horizontal="center"/>
      <protection hidden="1"/>
    </xf>
    <xf numFmtId="180" fontId="4" fillId="0" borderId="5" xfId="6" applyNumberFormat="1" applyFont="1" applyBorder="1" applyAlignment="1" applyProtection="1">
      <alignment horizontal="left"/>
      <protection hidden="1"/>
    </xf>
    <xf numFmtId="0" fontId="4" fillId="0" borderId="0" xfId="6" applyFont="1" applyBorder="1" applyAlignment="1" applyProtection="1">
      <alignment horizontal="left"/>
      <protection hidden="1"/>
    </xf>
    <xf numFmtId="0" fontId="4" fillId="0" borderId="0" xfId="6" applyFont="1" applyBorder="1" applyAlignment="1" applyProtection="1">
      <alignment horizontal="center"/>
      <protection hidden="1"/>
    </xf>
    <xf numFmtId="180" fontId="4" fillId="0" borderId="8" xfId="6" applyNumberFormat="1" applyFont="1" applyBorder="1" applyAlignment="1" applyProtection="1">
      <alignment horizontal="left"/>
      <protection hidden="1"/>
    </xf>
    <xf numFmtId="0" fontId="4" fillId="0" borderId="9" xfId="6" applyFont="1" applyBorder="1" applyAlignment="1" applyProtection="1">
      <alignment horizontal="left"/>
      <protection hidden="1"/>
    </xf>
    <xf numFmtId="0" fontId="2" fillId="0" borderId="9" xfId="6" applyFont="1" applyBorder="1" applyAlignment="1" applyProtection="1">
      <alignment horizontal="center"/>
      <protection hidden="1"/>
    </xf>
    <xf numFmtId="0" fontId="4" fillId="0" borderId="9" xfId="6" applyFont="1" applyBorder="1" applyAlignment="1" applyProtection="1">
      <alignment horizontal="center"/>
      <protection hidden="1"/>
    </xf>
    <xf numFmtId="0" fontId="2" fillId="0" borderId="9" xfId="6" applyBorder="1" applyAlignment="1" applyProtection="1">
      <alignment horizontal="right"/>
      <protection hidden="1"/>
    </xf>
    <xf numFmtId="0" fontId="2" fillId="0" borderId="10" xfId="6" applyBorder="1" applyAlignment="1" applyProtection="1">
      <alignment horizontal="right"/>
      <protection hidden="1"/>
    </xf>
    <xf numFmtId="0" fontId="2" fillId="0" borderId="9" xfId="6" applyBorder="1"/>
    <xf numFmtId="0" fontId="2" fillId="0" borderId="9" xfId="6" applyBorder="1" applyProtection="1">
      <protection hidden="1"/>
    </xf>
    <xf numFmtId="0" fontId="2" fillId="0" borderId="11" xfId="6" applyBorder="1" applyProtection="1">
      <protection hidden="1"/>
    </xf>
    <xf numFmtId="0" fontId="2" fillId="0" borderId="9" xfId="6" applyBorder="1" applyAlignment="1" applyProtection="1">
      <alignment horizontal="center"/>
      <protection hidden="1"/>
    </xf>
    <xf numFmtId="0" fontId="2" fillId="0" borderId="0" xfId="6" quotePrefix="1" applyAlignment="1" applyProtection="1">
      <alignment horizontal="left"/>
      <protection hidden="1"/>
    </xf>
    <xf numFmtId="0" fontId="2" fillId="0" borderId="0" xfId="6" quotePrefix="1" applyAlignment="1" applyProtection="1">
      <alignment horizontal="center"/>
      <protection hidden="1"/>
    </xf>
    <xf numFmtId="0" fontId="2" fillId="0" borderId="0" xfId="6" quotePrefix="1" applyAlignment="1" applyProtection="1">
      <alignment horizontal="right"/>
      <protection hidden="1"/>
    </xf>
    <xf numFmtId="0" fontId="6" fillId="3" borderId="0" xfId="6" applyFont="1" applyFill="1" applyProtection="1">
      <protection hidden="1"/>
    </xf>
    <xf numFmtId="0" fontId="7" fillId="0" borderId="0" xfId="6" applyFont="1" applyProtection="1">
      <protection hidden="1"/>
    </xf>
    <xf numFmtId="14" fontId="8" fillId="4" borderId="0" xfId="6" applyNumberFormat="1" applyFont="1" applyFill="1" applyProtection="1">
      <protection locked="0"/>
    </xf>
    <xf numFmtId="0" fontId="9" fillId="0" borderId="0" xfId="6" applyFont="1" applyProtection="1">
      <protection hidden="1"/>
    </xf>
    <xf numFmtId="0" fontId="10" fillId="0" borderId="0" xfId="6" applyFont="1" applyAlignment="1" applyProtection="1">
      <alignment horizontal="right"/>
      <protection hidden="1"/>
    </xf>
    <xf numFmtId="0" fontId="11" fillId="0" borderId="0" xfId="6" applyFont="1" applyProtection="1">
      <protection hidden="1"/>
    </xf>
    <xf numFmtId="0" fontId="6" fillId="0" borderId="0" xfId="6" applyFont="1" applyProtection="1">
      <protection hidden="1"/>
    </xf>
    <xf numFmtId="0" fontId="8" fillId="0" borderId="0" xfId="6" applyFont="1" applyAlignment="1" applyProtection="1">
      <alignment horizontal="left"/>
      <protection hidden="1"/>
    </xf>
    <xf numFmtId="0" fontId="11" fillId="4" borderId="0" xfId="6" applyFont="1" applyFill="1" applyBorder="1" applyAlignment="1" applyProtection="1">
      <alignment horizontal="left" vertical="top"/>
      <protection hidden="1"/>
    </xf>
    <xf numFmtId="0" fontId="8" fillId="4" borderId="0" xfId="6" applyFont="1" applyFill="1" applyProtection="1">
      <protection hidden="1"/>
    </xf>
    <xf numFmtId="0" fontId="8" fillId="4" borderId="0" xfId="6" applyFont="1" applyFill="1" applyBorder="1" applyAlignment="1" applyProtection="1">
      <alignment horizontal="left"/>
      <protection hidden="1"/>
    </xf>
    <xf numFmtId="0" fontId="8" fillId="0" borderId="0" xfId="6" applyFont="1" applyProtection="1">
      <protection hidden="1"/>
    </xf>
    <xf numFmtId="0" fontId="2" fillId="0" borderId="0" xfId="6" applyAlignment="1">
      <alignment horizontal="center"/>
    </xf>
    <xf numFmtId="0" fontId="2" fillId="0" borderId="0" xfId="2" applyFill="1" applyAlignment="1">
      <alignment horizontal="right"/>
    </xf>
    <xf numFmtId="0" fontId="2" fillId="0" borderId="0" xfId="2" applyFill="1"/>
    <xf numFmtId="0" fontId="13" fillId="0" borderId="0" xfId="6" applyFont="1" applyFill="1" applyBorder="1" applyAlignment="1" applyProtection="1">
      <alignment horizontal="right"/>
      <protection locked="0"/>
    </xf>
    <xf numFmtId="0" fontId="8" fillId="0" borderId="0" xfId="6" applyFont="1" applyFill="1" applyProtection="1">
      <protection hidden="1"/>
    </xf>
    <xf numFmtId="0" fontId="11" fillId="0" borderId="0" xfId="2" applyFont="1" applyFill="1"/>
    <xf numFmtId="0" fontId="6" fillId="4" borderId="0" xfId="6" applyFont="1" applyFill="1" applyProtection="1">
      <protection hidden="1"/>
    </xf>
    <xf numFmtId="0" fontId="2" fillId="0" borderId="0" xfId="3"/>
    <xf numFmtId="0" fontId="2" fillId="0" borderId="0" xfId="6" applyFont="1" applyAlignment="1" applyProtection="1">
      <alignment horizontal="center"/>
      <protection hidden="1"/>
    </xf>
    <xf numFmtId="0" fontId="2" fillId="0" borderId="0" xfId="6" quotePrefix="1" applyFont="1" applyAlignment="1" applyProtection="1">
      <alignment horizontal="center"/>
      <protection hidden="1"/>
    </xf>
    <xf numFmtId="0" fontId="15" fillId="0" borderId="0" xfId="6" applyFont="1" applyAlignment="1" applyProtection="1">
      <alignment horizontal="left"/>
      <protection hidden="1"/>
    </xf>
    <xf numFmtId="0" fontId="11" fillId="0" borderId="0" xfId="3" applyFont="1" applyAlignment="1">
      <alignment horizontal="right" vertical="center"/>
    </xf>
    <xf numFmtId="0" fontId="2" fillId="0" borderId="0" xfId="3" applyFont="1"/>
    <xf numFmtId="0" fontId="4" fillId="0" borderId="2" xfId="6" applyFont="1" applyBorder="1" applyAlignment="1" applyProtection="1">
      <alignment horizontal="center"/>
      <protection hidden="1"/>
    </xf>
    <xf numFmtId="0" fontId="4" fillId="0" borderId="4" xfId="6" applyFont="1" applyBorder="1" applyAlignment="1" applyProtection="1">
      <alignment horizontal="center"/>
      <protection hidden="1"/>
    </xf>
    <xf numFmtId="0" fontId="2" fillId="0" borderId="7" xfId="6" applyBorder="1" applyAlignment="1" applyProtection="1">
      <alignment horizontal="center"/>
      <protection hidden="1"/>
    </xf>
    <xf numFmtId="0" fontId="2" fillId="0" borderId="9" xfId="6" applyBorder="1" applyAlignment="1">
      <alignment horizontal="center"/>
    </xf>
    <xf numFmtId="0" fontId="2" fillId="0" borderId="11" xfId="6" applyBorder="1" applyAlignment="1" applyProtection="1">
      <alignment horizontal="center"/>
      <protection hidden="1"/>
    </xf>
    <xf numFmtId="0" fontId="2" fillId="5" borderId="0" xfId="6" applyFont="1" applyFill="1" applyBorder="1" applyAlignment="1" applyProtection="1">
      <alignment horizontal="right"/>
      <protection locked="0"/>
    </xf>
    <xf numFmtId="181" fontId="2" fillId="5" borderId="0" xfId="6" applyNumberFormat="1" applyFont="1" applyFill="1" applyBorder="1" applyAlignment="1" applyProtection="1">
      <alignment horizontal="left"/>
      <protection locked="0"/>
    </xf>
    <xf numFmtId="0" fontId="6" fillId="5" borderId="0" xfId="6" applyFont="1" applyFill="1" applyBorder="1" applyAlignment="1" applyProtection="1">
      <alignment horizontal="right"/>
      <protection locked="0"/>
    </xf>
    <xf numFmtId="0" fontId="8" fillId="5" borderId="0" xfId="6" applyFont="1" applyFill="1" applyBorder="1" applyAlignment="1" applyProtection="1">
      <alignment horizontal="right"/>
      <protection locked="0"/>
    </xf>
    <xf numFmtId="0" fontId="11" fillId="0" borderId="0" xfId="3" applyFont="1" applyAlignment="1">
      <alignment horizontal="center" vertical="center"/>
    </xf>
    <xf numFmtId="0" fontId="2" fillId="0" borderId="0" xfId="3" applyAlignment="1">
      <alignment horizontal="center"/>
    </xf>
    <xf numFmtId="20" fontId="2" fillId="0" borderId="0" xfId="3" applyNumberFormat="1"/>
    <xf numFmtId="0" fontId="8" fillId="0" borderId="0" xfId="3" applyFont="1"/>
    <xf numFmtId="0" fontId="8" fillId="0" borderId="0" xfId="3" quotePrefix="1" applyFont="1"/>
    <xf numFmtId="20" fontId="8" fillId="0" borderId="0" xfId="3" quotePrefix="1" applyNumberFormat="1" applyFont="1"/>
    <xf numFmtId="0" fontId="11" fillId="0" borderId="0" xfId="3" applyFont="1" applyAlignment="1">
      <alignment horizontal="center"/>
    </xf>
    <xf numFmtId="0" fontId="8" fillId="0" borderId="0" xfId="3" applyFont="1" applyFill="1"/>
    <xf numFmtId="0" fontId="11" fillId="0" borderId="0" xfId="3" applyFont="1" applyFill="1"/>
    <xf numFmtId="178" fontId="11" fillId="0" borderId="0" xfId="3" applyNumberFormat="1" applyFont="1"/>
    <xf numFmtId="20" fontId="11" fillId="0" borderId="0" xfId="3" quotePrefix="1" applyNumberFormat="1" applyFont="1" applyFill="1"/>
    <xf numFmtId="0" fontId="11" fillId="0" borderId="0" xfId="3" quotePrefix="1" applyFont="1" applyFill="1"/>
    <xf numFmtId="0" fontId="2" fillId="0" borderId="0" xfId="3" applyAlignment="1">
      <alignment vertical="center"/>
    </xf>
    <xf numFmtId="0" fontId="8" fillId="0" borderId="0" xfId="3" applyFont="1" applyAlignment="1">
      <alignment horizontal="left" vertical="center"/>
    </xf>
    <xf numFmtId="0" fontId="11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11" fillId="6" borderId="0" xfId="3" applyFont="1" applyFill="1" applyAlignment="1">
      <alignment vertical="center"/>
    </xf>
    <xf numFmtId="0" fontId="2" fillId="0" borderId="0" xfId="3" applyAlignment="1">
      <alignment horizontal="center" vertical="center"/>
    </xf>
    <xf numFmtId="0" fontId="2" fillId="0" borderId="0" xfId="2"/>
    <xf numFmtId="0" fontId="2" fillId="0" borderId="0" xfId="2" applyFont="1"/>
    <xf numFmtId="0" fontId="13" fillId="0" borderId="0" xfId="3" applyFont="1" applyAlignment="1">
      <alignment horizontal="right" vertical="center"/>
    </xf>
    <xf numFmtId="0" fontId="2" fillId="0" borderId="0" xfId="6" applyAlignment="1" applyProtection="1">
      <alignment vertical="center"/>
      <protection locked="0" hidden="1"/>
    </xf>
    <xf numFmtId="0" fontId="3" fillId="0" borderId="0" xfId="6" applyFont="1" applyAlignment="1" applyProtection="1">
      <alignment vertical="center"/>
      <protection hidden="1"/>
    </xf>
    <xf numFmtId="0" fontId="2" fillId="0" borderId="0" xfId="6" applyAlignment="1" applyProtection="1">
      <alignment vertical="center"/>
      <protection hidden="1"/>
    </xf>
    <xf numFmtId="0" fontId="2" fillId="0" borderId="0" xfId="6" applyAlignment="1" applyProtection="1">
      <alignment horizontal="left" vertical="center"/>
      <protection hidden="1"/>
    </xf>
    <xf numFmtId="0" fontId="4" fillId="0" borderId="0" xfId="6" applyFont="1" applyAlignment="1" applyProtection="1">
      <alignment horizontal="right" vertical="center"/>
      <protection hidden="1"/>
    </xf>
    <xf numFmtId="0" fontId="0" fillId="0" borderId="0" xfId="1" applyFont="1" applyAlignment="1">
      <alignment vertical="center"/>
    </xf>
    <xf numFmtId="0" fontId="2" fillId="0" borderId="0" xfId="6" applyFont="1" applyAlignment="1" applyProtection="1">
      <alignment horizontal="center" vertical="center"/>
      <protection hidden="1"/>
    </xf>
    <xf numFmtId="0" fontId="4" fillId="0" borderId="0" xfId="6" applyFont="1" applyAlignment="1" applyProtection="1">
      <alignment vertical="center"/>
      <protection hidden="1"/>
    </xf>
    <xf numFmtId="0" fontId="2" fillId="0" borderId="0" xfId="6" applyAlignment="1" applyProtection="1">
      <alignment horizontal="center" vertical="center"/>
      <protection hidden="1"/>
    </xf>
    <xf numFmtId="183" fontId="8" fillId="1" borderId="0" xfId="3" applyNumberFormat="1" applyFont="1" applyFill="1" applyAlignment="1">
      <alignment horizontal="center"/>
    </xf>
    <xf numFmtId="183" fontId="11" fillId="1" borderId="0" xfId="3" applyNumberFormat="1" applyFont="1" applyFill="1" applyAlignment="1">
      <alignment horizontal="center"/>
    </xf>
    <xf numFmtId="0" fontId="11" fillId="0" borderId="0" xfId="3" applyFont="1" applyFill="1" applyAlignment="1">
      <alignment horizontal="right" vertical="center"/>
    </xf>
    <xf numFmtId="0" fontId="2" fillId="0" borderId="0" xfId="3" applyFill="1"/>
    <xf numFmtId="183" fontId="2" fillId="0" borderId="0" xfId="3" applyNumberFormat="1" applyFill="1" applyAlignment="1">
      <alignment horizontal="center"/>
    </xf>
    <xf numFmtId="0" fontId="2" fillId="0" borderId="0" xfId="3" applyFill="1" applyAlignment="1">
      <alignment horizontal="center"/>
    </xf>
    <xf numFmtId="183" fontId="8" fillId="7" borderId="0" xfId="3" applyNumberFormat="1" applyFont="1" applyFill="1" applyAlignment="1">
      <alignment horizont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left"/>
    </xf>
    <xf numFmtId="0" fontId="17" fillId="0" borderId="0" xfId="3" applyFont="1" applyAlignment="1">
      <alignment vertical="center"/>
    </xf>
    <xf numFmtId="0" fontId="2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2" fillId="0" borderId="0" xfId="2" applyAlignment="1">
      <alignment horizontal="right"/>
    </xf>
    <xf numFmtId="0" fontId="20" fillId="0" borderId="0" xfId="2" applyFont="1"/>
    <xf numFmtId="0" fontId="2" fillId="0" borderId="0" xfId="2" applyFont="1" applyAlignment="1">
      <alignment vertical="center"/>
    </xf>
    <xf numFmtId="0" fontId="22" fillId="0" borderId="0" xfId="2" applyFont="1"/>
    <xf numFmtId="0" fontId="21" fillId="0" borderId="0" xfId="2" applyFont="1" applyFill="1" applyAlignment="1">
      <alignment horizontal="left" vertical="center"/>
    </xf>
    <xf numFmtId="0" fontId="22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24" fillId="0" borderId="0" xfId="2" applyFont="1"/>
    <xf numFmtId="0" fontId="2" fillId="5" borderId="0" xfId="2" applyFill="1" applyAlignment="1">
      <alignment horizontal="center"/>
    </xf>
    <xf numFmtId="0" fontId="13" fillId="0" borderId="0" xfId="2" applyFont="1" applyAlignment="1">
      <alignment horizontal="right"/>
    </xf>
    <xf numFmtId="0" fontId="13" fillId="0" borderId="0" xfId="6" applyFont="1" applyAlignment="1" applyProtection="1">
      <alignment horizontal="right" vertical="center"/>
      <protection hidden="1"/>
    </xf>
    <xf numFmtId="0" fontId="2" fillId="0" borderId="0" xfId="6" applyFont="1" applyProtection="1">
      <protection hidden="1"/>
    </xf>
    <xf numFmtId="0" fontId="17" fillId="0" borderId="0" xfId="3" applyFont="1" applyAlignment="1">
      <alignment horizontal="left"/>
    </xf>
    <xf numFmtId="0" fontId="2" fillId="0" borderId="0" xfId="2" applyBorder="1" applyAlignment="1">
      <alignment horizontal="center"/>
    </xf>
    <xf numFmtId="0" fontId="2" fillId="0" borderId="0" xfId="2" applyFont="1" applyBorder="1"/>
    <xf numFmtId="0" fontId="2" fillId="0" borderId="0" xfId="2" applyBorder="1"/>
    <xf numFmtId="0" fontId="2" fillId="5" borderId="0" xfId="6" applyFill="1" applyProtection="1">
      <protection hidden="1"/>
    </xf>
    <xf numFmtId="0" fontId="2" fillId="0" borderId="0" xfId="6" applyFill="1" applyProtection="1">
      <protection hidden="1"/>
    </xf>
    <xf numFmtId="0" fontId="11" fillId="0" borderId="0" xfId="6" applyFont="1" applyAlignment="1" applyProtection="1">
      <alignment horizontal="left"/>
      <protection hidden="1"/>
    </xf>
    <xf numFmtId="0" fontId="2" fillId="0" borderId="0" xfId="6" applyFont="1" applyAlignment="1" applyProtection="1">
      <alignment horizontal="right"/>
      <protection hidden="1"/>
    </xf>
    <xf numFmtId="190" fontId="2" fillId="0" borderId="0" xfId="6" applyNumberFormat="1" applyAlignment="1" applyProtection="1">
      <alignment horizontal="right"/>
      <protection hidden="1"/>
    </xf>
    <xf numFmtId="191" fontId="2" fillId="0" borderId="0" xfId="6" applyNumberFormat="1" applyProtection="1">
      <protection hidden="1"/>
    </xf>
    <xf numFmtId="0" fontId="2" fillId="0" borderId="0" xfId="6" applyNumberFormat="1" applyFont="1" applyAlignment="1" applyProtection="1">
      <alignment horizontal="right"/>
      <protection hidden="1"/>
    </xf>
    <xf numFmtId="0" fontId="11" fillId="0" borderId="0" xfId="6" applyFont="1" applyAlignment="1" applyProtection="1">
      <alignment horizontal="right"/>
      <protection hidden="1"/>
    </xf>
    <xf numFmtId="0" fontId="8" fillId="0" borderId="0" xfId="6" applyFont="1" applyAlignment="1" applyProtection="1">
      <alignment vertical="center"/>
      <protection hidden="1"/>
    </xf>
    <xf numFmtId="0" fontId="11" fillId="0" borderId="0" xfId="6" applyFont="1" applyAlignment="1" applyProtection="1">
      <alignment horizontal="right" vertical="center"/>
      <protection hidden="1"/>
    </xf>
    <xf numFmtId="0" fontId="2" fillId="5" borderId="0" xfId="6" applyFill="1" applyAlignment="1" applyProtection="1">
      <alignment vertical="center"/>
      <protection hidden="1"/>
    </xf>
    <xf numFmtId="0" fontId="2" fillId="0" borderId="0" xfId="6" applyFill="1" applyAlignment="1" applyProtection="1">
      <alignment vertical="center"/>
      <protection hidden="1"/>
    </xf>
    <xf numFmtId="191" fontId="2" fillId="0" borderId="0" xfId="6" applyNumberFormat="1" applyAlignment="1" applyProtection="1">
      <alignment vertical="center"/>
      <protection hidden="1"/>
    </xf>
    <xf numFmtId="190" fontId="2" fillId="0" borderId="0" xfId="6" applyNumberFormat="1" applyAlignment="1" applyProtection="1">
      <alignment horizontal="right" vertical="center"/>
      <protection hidden="1"/>
    </xf>
    <xf numFmtId="0" fontId="8" fillId="0" borderId="0" xfId="4" applyFont="1" applyFill="1" applyAlignment="1">
      <alignment horizontal="left"/>
    </xf>
    <xf numFmtId="0" fontId="8" fillId="0" borderId="0" xfId="4" applyFont="1" applyFill="1" applyAlignment="1">
      <alignment horizontal="center"/>
    </xf>
    <xf numFmtId="0" fontId="2" fillId="0" borderId="0" xfId="1" applyFont="1"/>
    <xf numFmtId="0" fontId="11" fillId="0" borderId="0" xfId="3" applyFont="1" applyAlignment="1">
      <alignment horizontal="left" vertical="center"/>
    </xf>
    <xf numFmtId="0" fontId="2" fillId="0" borderId="0" xfId="6" quotePrefix="1" applyFont="1" applyAlignment="1" applyProtection="1">
      <alignment horizontal="right"/>
      <protection hidden="1"/>
    </xf>
    <xf numFmtId="0" fontId="8" fillId="0" borderId="0" xfId="4" applyFont="1" applyFill="1" applyAlignment="1">
      <alignment horizontal="center" vertical="top"/>
    </xf>
    <xf numFmtId="0" fontId="8" fillId="0" borderId="0" xfId="4" applyFont="1" applyFill="1" applyAlignment="1">
      <alignment horizontal="left" vertical="top"/>
    </xf>
    <xf numFmtId="0" fontId="8" fillId="5" borderId="0" xfId="4" applyFont="1" applyFill="1" applyAlignment="1">
      <alignment horizontal="center"/>
    </xf>
    <xf numFmtId="0" fontId="16" fillId="0" borderId="0" xfId="3" applyFont="1"/>
    <xf numFmtId="0" fontId="11" fillId="0" borderId="0" xfId="3" quotePrefix="1" applyFont="1"/>
    <xf numFmtId="0" fontId="11" fillId="0" borderId="0" xfId="3" applyFont="1" applyAlignment="1">
      <alignment horizontal="left"/>
    </xf>
    <xf numFmtId="0" fontId="13" fillId="0" borderId="0" xfId="2" applyFont="1" applyAlignment="1">
      <alignment horizontal="center"/>
    </xf>
    <xf numFmtId="0" fontId="11" fillId="0" borderId="0" xfId="6" quotePrefix="1" applyFont="1" applyAlignment="1" applyProtection="1">
      <alignment horizontal="right" vertical="center"/>
      <protection hidden="1"/>
    </xf>
    <xf numFmtId="0" fontId="19" fillId="0" borderId="0" xfId="4" applyFont="1" applyFill="1" applyAlignment="1">
      <alignment horizontal="left"/>
    </xf>
    <xf numFmtId="190" fontId="11" fillId="0" borderId="0" xfId="6" applyNumberFormat="1" applyFont="1" applyAlignment="1" applyProtection="1">
      <alignment horizontal="left" vertical="center"/>
      <protection hidden="1"/>
    </xf>
    <xf numFmtId="0" fontId="11" fillId="0" borderId="0" xfId="6" applyFont="1" applyAlignment="1" applyProtection="1">
      <alignment horizontal="left" vertical="center"/>
      <protection hidden="1"/>
    </xf>
    <xf numFmtId="0" fontId="17" fillId="0" borderId="0" xfId="6" applyFont="1" applyProtection="1">
      <protection hidden="1"/>
    </xf>
    <xf numFmtId="0" fontId="6" fillId="0" borderId="0" xfId="3" applyFont="1"/>
    <xf numFmtId="0" fontId="11" fillId="0" borderId="0" xfId="5" quotePrefix="1" applyFont="1" applyAlignment="1">
      <alignment horizontal="right"/>
    </xf>
    <xf numFmtId="0" fontId="11" fillId="0" borderId="0" xfId="5" applyFont="1" applyFill="1" applyAlignment="1">
      <alignment horizontal="right"/>
    </xf>
    <xf numFmtId="0" fontId="11" fillId="0" borderId="0" xfId="5" applyFont="1"/>
    <xf numFmtId="0" fontId="11" fillId="7" borderId="0" xfId="5" applyFont="1" applyFill="1"/>
    <xf numFmtId="0" fontId="11" fillId="0" borderId="0" xfId="5" applyFont="1" applyAlignment="1">
      <alignment horizontal="right"/>
    </xf>
    <xf numFmtId="0" fontId="11" fillId="0" borderId="0" xfId="5" applyFont="1" applyAlignment="1">
      <alignment vertical="center"/>
    </xf>
    <xf numFmtId="0" fontId="11" fillId="0" borderId="0" xfId="5" applyFont="1" applyFill="1" applyAlignment="1">
      <alignment horizontal="right" vertical="center"/>
    </xf>
    <xf numFmtId="0" fontId="11" fillId="7" borderId="0" xfId="5" applyFont="1" applyFill="1" applyAlignment="1">
      <alignment vertical="center"/>
    </xf>
    <xf numFmtId="0" fontId="16" fillId="0" borderId="0" xfId="6" applyFont="1" applyProtection="1">
      <protection hidden="1"/>
    </xf>
    <xf numFmtId="0" fontId="16" fillId="0" borderId="0" xfId="6" applyFont="1" applyAlignment="1" applyProtection="1">
      <alignment vertical="center"/>
      <protection hidden="1"/>
    </xf>
    <xf numFmtId="0" fontId="3" fillId="0" borderId="0" xfId="5" applyFont="1" applyFill="1" applyAlignment="1">
      <alignment horizontal="right" vertical="center"/>
    </xf>
    <xf numFmtId="0" fontId="25" fillId="0" borderId="0" xfId="5" applyFont="1" applyFill="1" applyAlignment="1">
      <alignment vertical="center"/>
    </xf>
    <xf numFmtId="0" fontId="11" fillId="0" borderId="0" xfId="5" applyFont="1" applyAlignment="1">
      <alignment horizontal="left"/>
    </xf>
    <xf numFmtId="0" fontId="11" fillId="7" borderId="0" xfId="5" applyFont="1" applyFill="1" applyAlignment="1">
      <alignment horizontal="left"/>
    </xf>
    <xf numFmtId="0" fontId="11" fillId="0" borderId="0" xfId="5" applyFont="1" applyAlignment="1">
      <alignment horizontal="left" vertical="center"/>
    </xf>
    <xf numFmtId="0" fontId="13" fillId="0" borderId="0" xfId="4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20" fillId="0" borderId="0" xfId="4" applyFont="1" applyFill="1" applyAlignment="1">
      <alignment horizontal="center"/>
    </xf>
    <xf numFmtId="0" fontId="26" fillId="0" borderId="0" xfId="3" applyFont="1" applyAlignment="1">
      <alignment vertical="center"/>
    </xf>
    <xf numFmtId="0" fontId="8" fillId="8" borderId="0" xfId="4" applyFont="1" applyFill="1" applyAlignment="1">
      <alignment horizontal="center"/>
    </xf>
    <xf numFmtId="0" fontId="8" fillId="8" borderId="0" xfId="4" applyFont="1" applyFill="1" applyAlignment="1">
      <alignment horizontal="left"/>
    </xf>
    <xf numFmtId="0" fontId="8" fillId="0" borderId="0" xfId="3" quotePrefix="1" applyFont="1" applyFill="1"/>
    <xf numFmtId="0" fontId="19" fillId="5" borderId="0" xfId="3" applyFont="1" applyFill="1" applyAlignment="1">
      <alignment horizontal="center" vertical="center"/>
    </xf>
    <xf numFmtId="0" fontId="21" fillId="5" borderId="0" xfId="2" applyFont="1" applyFill="1" applyAlignment="1">
      <alignment horizontal="center" vertical="center"/>
    </xf>
    <xf numFmtId="0" fontId="2" fillId="0" borderId="0" xfId="2" applyFill="1" applyBorder="1" applyAlignment="1">
      <alignment horizontal="center"/>
    </xf>
    <xf numFmtId="0" fontId="2" fillId="0" borderId="0" xfId="2" applyFill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2" fillId="0" borderId="0" xfId="2" applyFont="1" applyAlignment="1">
      <alignment horizontal="center" vertical="center"/>
    </xf>
    <xf numFmtId="188" fontId="8" fillId="0" borderId="0" xfId="2" applyNumberFormat="1" applyFont="1" applyFill="1" applyBorder="1" applyAlignment="1">
      <alignment horizontal="center"/>
    </xf>
    <xf numFmtId="188" fontId="11" fillId="0" borderId="0" xfId="2" applyNumberFormat="1" applyFont="1" applyFill="1" applyBorder="1" applyAlignment="1">
      <alignment horizontal="center"/>
    </xf>
    <xf numFmtId="188" fontId="20" fillId="0" borderId="0" xfId="2" applyNumberFormat="1" applyFont="1" applyFill="1" applyBorder="1" applyAlignment="1">
      <alignment horizontal="center"/>
    </xf>
    <xf numFmtId="0" fontId="2" fillId="0" borderId="0" xfId="2" applyFont="1" applyAlignment="1">
      <alignment horizontal="right" vertical="center"/>
    </xf>
    <xf numFmtId="0" fontId="8" fillId="0" borderId="0" xfId="2" applyFont="1" applyFill="1" applyAlignment="1">
      <alignment horizontal="right"/>
    </xf>
    <xf numFmtId="0" fontId="8" fillId="0" borderId="0" xfId="2" applyFont="1" applyFill="1"/>
    <xf numFmtId="0" fontId="13" fillId="0" borderId="0" xfId="6" applyFont="1" applyFill="1" applyBorder="1" applyAlignment="1" applyProtection="1">
      <alignment horizontal="right" vertical="top"/>
      <protection hidden="1"/>
    </xf>
    <xf numFmtId="0" fontId="13" fillId="0" borderId="0" xfId="6" applyFont="1" applyFill="1" applyAlignment="1" applyProtection="1">
      <alignment horizontal="right"/>
      <protection hidden="1"/>
    </xf>
    <xf numFmtId="0" fontId="13" fillId="0" borderId="0" xfId="2" applyFont="1" applyFill="1"/>
    <xf numFmtId="0" fontId="8" fillId="0" borderId="12" xfId="4" applyFont="1" applyFill="1" applyBorder="1" applyAlignment="1">
      <alignment horizontal="center"/>
    </xf>
    <xf numFmtId="188" fontId="11" fillId="0" borderId="0" xfId="2" applyNumberFormat="1" applyFont="1" applyAlignment="1"/>
    <xf numFmtId="192" fontId="2" fillId="0" borderId="0" xfId="6" applyNumberFormat="1" applyAlignment="1" applyProtection="1">
      <alignment horizontal="center"/>
      <protection hidden="1"/>
    </xf>
    <xf numFmtId="0" fontId="13" fillId="0" borderId="9" xfId="4" quotePrefix="1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11" fillId="0" borderId="0" xfId="4" applyFont="1" applyFill="1" applyAlignment="1">
      <alignment horizontal="center" vertical="top"/>
    </xf>
    <xf numFmtId="0" fontId="20" fillId="0" borderId="12" xfId="4" quotePrefix="1" applyFont="1" applyFill="1" applyBorder="1" applyAlignment="1">
      <alignment horizontal="center" vertical="center"/>
    </xf>
    <xf numFmtId="20" fontId="20" fillId="0" borderId="12" xfId="4" quotePrefix="1" applyNumberFormat="1" applyFont="1" applyFill="1" applyBorder="1" applyAlignment="1">
      <alignment horizontal="center" vertical="center"/>
    </xf>
    <xf numFmtId="0" fontId="13" fillId="0" borderId="12" xfId="4" quotePrefix="1" applyFont="1" applyFill="1" applyBorder="1" applyAlignment="1">
      <alignment horizontal="center" vertical="center"/>
    </xf>
    <xf numFmtId="0" fontId="13" fillId="0" borderId="9" xfId="4" quotePrefix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0" fontId="11" fillId="0" borderId="0" xfId="4" applyFont="1" applyFill="1" applyAlignment="1">
      <alignment horizontal="center" vertical="center"/>
    </xf>
    <xf numFmtId="0" fontId="13" fillId="0" borderId="0" xfId="4" quotePrefix="1" applyFont="1" applyFill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20" fillId="0" borderId="0" xfId="4" quotePrefix="1" applyFont="1" applyFill="1" applyAlignment="1">
      <alignment horizontal="center" vertical="center"/>
    </xf>
    <xf numFmtId="0" fontId="11" fillId="0" borderId="0" xfId="4" quotePrefix="1" applyFont="1" applyFill="1" applyAlignment="1">
      <alignment horizontal="center" vertical="center"/>
    </xf>
    <xf numFmtId="0" fontId="13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centerContinuous" vertical="top"/>
    </xf>
    <xf numFmtId="0" fontId="8" fillId="0" borderId="0" xfId="4" applyFont="1" applyFill="1" applyAlignment="1">
      <alignment horizontal="centerContinuous" vertical="top"/>
    </xf>
    <xf numFmtId="0" fontId="11" fillId="0" borderId="0" xfId="4" quotePrefix="1" applyFont="1" applyFill="1" applyAlignment="1">
      <alignment horizontal="center"/>
    </xf>
    <xf numFmtId="20" fontId="13" fillId="0" borderId="0" xfId="4" quotePrefix="1" applyNumberFormat="1" applyFont="1" applyFill="1" applyAlignment="1">
      <alignment horizontal="center" vertical="center"/>
    </xf>
    <xf numFmtId="0" fontId="20" fillId="0" borderId="9" xfId="4" quotePrefix="1" applyFont="1" applyFill="1" applyBorder="1" applyAlignment="1">
      <alignment horizontal="center" vertical="center"/>
    </xf>
    <xf numFmtId="0" fontId="13" fillId="0" borderId="0" xfId="4" quotePrefix="1" applyFont="1" applyFill="1" applyAlignment="1">
      <alignment horizontal="center"/>
    </xf>
    <xf numFmtId="0" fontId="20" fillId="0" borderId="0" xfId="4" quotePrefix="1" applyFont="1" applyFill="1" applyAlignment="1">
      <alignment horizontal="center"/>
    </xf>
    <xf numFmtId="0" fontId="2" fillId="0" borderId="0" xfId="2" applyFont="1" applyAlignment="1">
      <alignment horizontal="left" vertical="top"/>
    </xf>
    <xf numFmtId="0" fontId="8" fillId="0" borderId="0" xfId="4" applyFont="1" applyAlignment="1">
      <alignment horizontal="center"/>
    </xf>
    <xf numFmtId="0" fontId="13" fillId="0" borderId="13" xfId="4" applyFont="1" applyBorder="1" applyAlignment="1">
      <alignment horizontal="left" vertical="top"/>
    </xf>
    <xf numFmtId="0" fontId="11" fillId="0" borderId="0" xfId="4" applyFont="1" applyAlignment="1">
      <alignment horizontal="left"/>
    </xf>
    <xf numFmtId="0" fontId="11" fillId="2" borderId="0" xfId="5" applyFont="1" applyFill="1" applyAlignment="1">
      <alignment horizontal="left"/>
    </xf>
    <xf numFmtId="0" fontId="11" fillId="2" borderId="0" xfId="5" applyFont="1" applyFill="1" applyAlignment="1">
      <alignment horizontal="left" vertical="center"/>
    </xf>
    <xf numFmtId="0" fontId="13" fillId="0" borderId="14" xfId="4" quotePrefix="1" applyFont="1" applyFill="1" applyBorder="1" applyAlignment="1">
      <alignment horizontal="center" vertical="center"/>
    </xf>
    <xf numFmtId="0" fontId="20" fillId="0" borderId="14" xfId="4" quotePrefix="1" applyFont="1" applyFill="1" applyBorder="1" applyAlignment="1">
      <alignment horizontal="center" vertical="center"/>
    </xf>
    <xf numFmtId="20" fontId="20" fillId="0" borderId="14" xfId="4" quotePrefix="1" applyNumberFormat="1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center"/>
    </xf>
    <xf numFmtId="0" fontId="17" fillId="0" borderId="0" xfId="3" applyFont="1"/>
    <xf numFmtId="20" fontId="17" fillId="0" borderId="0" xfId="3" quotePrefix="1" applyNumberFormat="1" applyFont="1"/>
    <xf numFmtId="0" fontId="2" fillId="0" borderId="0" xfId="3" quotePrefix="1" applyFont="1"/>
    <xf numFmtId="0" fontId="17" fillId="0" borderId="0" xfId="3" quotePrefix="1" applyFont="1"/>
    <xf numFmtId="0" fontId="27" fillId="0" borderId="0" xfId="2" applyFont="1" applyFill="1" applyAlignment="1">
      <alignment horizontal="center" vertical="center"/>
    </xf>
    <xf numFmtId="0" fontId="11" fillId="0" borderId="0" xfId="3" applyFont="1"/>
    <xf numFmtId="192" fontId="16" fillId="0" borderId="0" xfId="6" applyNumberFormat="1" applyFont="1" applyAlignment="1" applyProtection="1">
      <alignment horizontal="center"/>
      <protection hidden="1"/>
    </xf>
    <xf numFmtId="192" fontId="2" fillId="0" borderId="0" xfId="6" applyNumberFormat="1" applyFont="1" applyAlignment="1" applyProtection="1">
      <alignment horizontal="center"/>
      <protection hidden="1"/>
    </xf>
    <xf numFmtId="0" fontId="28" fillId="0" borderId="0" xfId="6" applyFont="1" applyAlignment="1" applyProtection="1">
      <alignment horizontal="center" vertical="center" wrapText="1"/>
      <protection hidden="1"/>
    </xf>
    <xf numFmtId="0" fontId="27" fillId="0" borderId="0" xfId="6" applyFont="1" applyAlignment="1" applyProtection="1">
      <alignment horizontal="left" vertical="center"/>
      <protection hidden="1"/>
    </xf>
    <xf numFmtId="0" fontId="28" fillId="2" borderId="0" xfId="4" applyFont="1" applyFill="1" applyAlignment="1">
      <alignment horizontal="center" vertical="center"/>
    </xf>
    <xf numFmtId="0" fontId="8" fillId="0" borderId="0" xfId="2" applyFont="1" applyFill="1" applyAlignment="1">
      <alignment horizontal="left"/>
    </xf>
    <xf numFmtId="175" fontId="2" fillId="0" borderId="0" xfId="1" applyNumberFormat="1" applyFont="1"/>
    <xf numFmtId="175" fontId="2" fillId="0" borderId="0" xfId="2" applyNumberFormat="1" applyFill="1"/>
    <xf numFmtId="0" fontId="6" fillId="0" borderId="0" xfId="6" applyFont="1" applyFill="1" applyBorder="1" applyAlignment="1" applyProtection="1">
      <alignment horizontal="right"/>
      <protection locked="0"/>
    </xf>
    <xf numFmtId="0" fontId="13" fillId="0" borderId="0" xfId="6" applyFont="1" applyFill="1" applyBorder="1" applyAlignment="1" applyProtection="1">
      <alignment horizontal="center"/>
      <protection locked="0"/>
    </xf>
    <xf numFmtId="0" fontId="6" fillId="0" borderId="0" xfId="6" applyFont="1" applyFill="1" applyBorder="1" applyAlignment="1" applyProtection="1">
      <alignment horizontal="center"/>
      <protection locked="0"/>
    </xf>
    <xf numFmtId="0" fontId="29" fillId="0" borderId="0" xfId="6" applyFont="1" applyAlignment="1" applyProtection="1">
      <alignment vertical="center"/>
      <protection hidden="1"/>
    </xf>
    <xf numFmtId="0" fontId="2" fillId="0" borderId="0" xfId="2" applyNumberFormat="1" applyFill="1" applyAlignment="1">
      <alignment horizontal="center"/>
    </xf>
    <xf numFmtId="0" fontId="2" fillId="0" borderId="0" xfId="1" applyNumberFormat="1" applyFont="1" applyAlignment="1">
      <alignment horizontal="center"/>
    </xf>
    <xf numFmtId="0" fontId="11" fillId="0" borderId="0" xfId="6" applyFont="1" applyFill="1" applyBorder="1" applyAlignment="1" applyProtection="1">
      <alignment horizontal="right" vertical="top"/>
      <protection hidden="1"/>
    </xf>
    <xf numFmtId="0" fontId="30" fillId="0" borderId="0" xfId="2" applyFont="1" applyAlignment="1">
      <alignment horizontal="center" vertical="top"/>
    </xf>
    <xf numFmtId="0" fontId="31" fillId="0" borderId="0" xfId="3" applyFont="1"/>
    <xf numFmtId="0" fontId="31" fillId="0" borderId="0" xfId="3" applyFont="1" applyAlignment="1">
      <alignment horizontal="left"/>
    </xf>
    <xf numFmtId="0" fontId="32" fillId="0" borderId="0" xfId="3" applyFont="1"/>
    <xf numFmtId="0" fontId="17" fillId="0" borderId="0" xfId="2" applyFont="1"/>
    <xf numFmtId="183" fontId="13" fillId="0" borderId="0" xfId="3" applyNumberFormat="1" applyFont="1" applyFill="1" applyAlignment="1">
      <alignment horizontal="center" vertical="center"/>
    </xf>
    <xf numFmtId="188" fontId="11" fillId="7" borderId="0" xfId="2" applyNumberFormat="1" applyFont="1" applyFill="1" applyBorder="1" applyAlignment="1">
      <alignment horizontal="center"/>
    </xf>
    <xf numFmtId="188" fontId="8" fillId="7" borderId="0" xfId="2" applyNumberFormat="1" applyFont="1" applyFill="1" applyBorder="1" applyAlignment="1">
      <alignment horizontal="center"/>
    </xf>
    <xf numFmtId="188" fontId="20" fillId="7" borderId="0" xfId="2" applyNumberFormat="1" applyFont="1" applyFill="1" applyBorder="1" applyAlignment="1">
      <alignment horizontal="center"/>
    </xf>
    <xf numFmtId="0" fontId="2" fillId="7" borderId="0" xfId="2" applyFont="1" applyFill="1"/>
    <xf numFmtId="0" fontId="2" fillId="7" borderId="0" xfId="2" applyFill="1" applyAlignment="1">
      <alignment horizontal="right"/>
    </xf>
    <xf numFmtId="0" fontId="2" fillId="0" borderId="0" xfId="2" applyFont="1" applyFill="1" applyBorder="1" applyAlignment="1">
      <alignment horizontal="center"/>
    </xf>
    <xf numFmtId="0" fontId="2" fillId="0" borderId="0" xfId="2" quotePrefix="1" applyNumberFormat="1" applyFont="1" applyFill="1" applyAlignment="1">
      <alignment horizontal="center"/>
    </xf>
    <xf numFmtId="0" fontId="19" fillId="0" borderId="0" xfId="2" applyFont="1" applyAlignment="1">
      <alignment horizontal="left"/>
    </xf>
    <xf numFmtId="0" fontId="33" fillId="0" borderId="0" xfId="6" applyFont="1" applyFill="1" applyBorder="1" applyAlignment="1" applyProtection="1">
      <alignment horizontal="right"/>
      <protection locked="0"/>
    </xf>
    <xf numFmtId="0" fontId="33" fillId="0" borderId="0" xfId="6" applyFont="1" applyFill="1" applyBorder="1" applyAlignment="1" applyProtection="1">
      <alignment horizontal="center"/>
      <protection locked="0"/>
    </xf>
    <xf numFmtId="0" fontId="34" fillId="0" borderId="0" xfId="6" applyFont="1" applyFill="1" applyBorder="1" applyAlignment="1" applyProtection="1">
      <alignment horizontal="right"/>
      <protection locked="0"/>
    </xf>
    <xf numFmtId="0" fontId="35" fillId="0" borderId="0" xfId="4" quotePrefix="1" applyFont="1" applyFill="1" applyAlignment="1">
      <alignment horizontal="center" vertical="center"/>
    </xf>
    <xf numFmtId="0" fontId="28" fillId="0" borderId="0" xfId="4" quotePrefix="1" applyFont="1" applyFill="1" applyAlignment="1">
      <alignment horizontal="center" vertical="center"/>
    </xf>
    <xf numFmtId="0" fontId="36" fillId="0" borderId="0" xfId="4" quotePrefix="1" applyFont="1" applyFill="1" applyAlignment="1">
      <alignment horizontal="center" vertical="center"/>
    </xf>
    <xf numFmtId="0" fontId="13" fillId="0" borderId="0" xfId="4" quotePrefix="1" applyFont="1" applyFill="1" applyBorder="1" applyAlignment="1">
      <alignment horizontal="center" vertical="center"/>
    </xf>
    <xf numFmtId="0" fontId="38" fillId="0" borderId="0" xfId="4" applyFont="1" applyFill="1" applyAlignment="1">
      <alignment horizontal="center" vertical="center"/>
    </xf>
    <xf numFmtId="0" fontId="27" fillId="0" borderId="0" xfId="4" quotePrefix="1" applyFont="1" applyFill="1" applyAlignment="1">
      <alignment horizontal="center" vertical="center"/>
    </xf>
    <xf numFmtId="0" fontId="28" fillId="0" borderId="0" xfId="4" applyFont="1" applyFill="1" applyAlignment="1">
      <alignment horizontal="center" vertical="center"/>
    </xf>
    <xf numFmtId="0" fontId="37" fillId="0" borderId="0" xfId="4" quotePrefix="1" applyFont="1" applyFill="1" applyAlignment="1">
      <alignment horizontal="center" vertical="center"/>
    </xf>
    <xf numFmtId="0" fontId="37" fillId="0" borderId="0" xfId="4" applyFont="1" applyFill="1" applyAlignment="1">
      <alignment horizontal="center" vertical="center"/>
    </xf>
    <xf numFmtId="0" fontId="37" fillId="0" borderId="0" xfId="4" quotePrefix="1" applyFont="1" applyFill="1" applyAlignment="1">
      <alignment horizontal="center"/>
    </xf>
    <xf numFmtId="0" fontId="27" fillId="0" borderId="0" xfId="4" quotePrefix="1" applyFont="1" applyFill="1" applyAlignment="1">
      <alignment horizontal="center"/>
    </xf>
    <xf numFmtId="0" fontId="28" fillId="0" borderId="0" xfId="4" applyFont="1" applyFill="1" applyAlignment="1">
      <alignment horizontal="center"/>
    </xf>
    <xf numFmtId="0" fontId="37" fillId="0" borderId="15" xfId="4" applyFont="1" applyFill="1" applyBorder="1" applyAlignment="1">
      <alignment horizontal="center" vertical="center"/>
    </xf>
    <xf numFmtId="0" fontId="38" fillId="0" borderId="0" xfId="2" applyFont="1" applyAlignment="1">
      <alignment horizontal="center" vertical="top"/>
    </xf>
    <xf numFmtId="0" fontId="38" fillId="0" borderId="0" xfId="2" applyFont="1" applyAlignment="1">
      <alignment horizontal="centerContinuous" vertical="top"/>
    </xf>
  </cellXfs>
  <cellStyles count="7">
    <cellStyle name="%" xfId="1"/>
    <cellStyle name="Standard" xfId="0" builtinId="0"/>
    <cellStyle name="Standard_Mappe1" xfId="2"/>
    <cellStyle name="Standard_Mappe2" xfId="3"/>
    <cellStyle name="Standard_Mappe4" xfId="4"/>
    <cellStyle name="Standard_Tabelle" xfId="5"/>
    <cellStyle name="Standard_Tabelle1" xfId="6"/>
  </cellStyles>
  <dxfs count="101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ill>
        <patternFill patternType="gray0625"/>
      </fill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ill>
        <patternFill>
          <bgColor indexed="26"/>
        </patternFill>
      </fill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15"/>
  <sheetViews>
    <sheetView showGridLines="0" showOutlineSymbols="0" zoomScale="105" workbookViewId="0">
      <pane ySplit="1" topLeftCell="A12" activePane="bottomLeft" state="frozen"/>
      <selection pane="bottomLeft" activeCell="Y38" sqref="Y38"/>
    </sheetView>
  </sheetViews>
  <sheetFormatPr baseColWidth="10" defaultColWidth="12.5703125" defaultRowHeight="14.25" outlineLevelCol="1"/>
  <cols>
    <col min="1" max="1" width="6.140625" style="111" customWidth="1"/>
    <col min="2" max="2" width="17" style="58" customWidth="1"/>
    <col min="3" max="3" width="14.42578125" style="58" customWidth="1"/>
    <col min="4" max="4" width="13.5703125" style="58" customWidth="1"/>
    <col min="5" max="5" width="10.85546875" style="58" customWidth="1"/>
    <col min="6" max="6" width="13.5703125" style="58" customWidth="1"/>
    <col min="7" max="7" width="13.140625" style="58" customWidth="1"/>
    <col min="8" max="8" width="9.5703125" style="76" customWidth="1"/>
    <col min="9" max="9" width="4.140625" style="58" bestFit="1" customWidth="1"/>
    <col min="10" max="10" width="15" style="58" customWidth="1"/>
    <col min="11" max="11" width="2.85546875" style="74" bestFit="1" customWidth="1"/>
    <col min="12" max="12" width="2.85546875" style="108" customWidth="1"/>
    <col min="13" max="13" width="2.85546875" style="74" customWidth="1"/>
    <col min="14" max="14" width="2.85546875" style="108" customWidth="1"/>
    <col min="15" max="15" width="12.5703125" style="58" hidden="1" customWidth="1" outlineLevel="1"/>
    <col min="16" max="16" width="6" style="74" customWidth="1" collapsed="1"/>
    <col min="17" max="17" width="4" style="58" customWidth="1"/>
    <col min="18" max="18" width="35.140625" style="58" customWidth="1"/>
    <col min="19" max="19" width="4.28515625" style="58" customWidth="1"/>
    <col min="20" max="20" width="3.7109375" style="58" customWidth="1"/>
    <col min="21" max="21" width="3.5703125" style="58" customWidth="1"/>
    <col min="22" max="22" width="3.7109375" style="58" customWidth="1"/>
    <col min="23" max="23" width="18.7109375" style="58" customWidth="1"/>
    <col min="24" max="24" width="13.7109375" style="58" customWidth="1"/>
    <col min="25" max="16384" width="12.5703125" style="58"/>
  </cols>
  <sheetData>
    <row r="1" spans="1:27" s="85" customFormat="1" ht="23.25" customHeight="1">
      <c r="A1" s="110"/>
      <c r="B1" s="151" t="s">
        <v>166</v>
      </c>
      <c r="C1" s="87" t="s">
        <v>141</v>
      </c>
      <c r="D1" s="73" t="s">
        <v>142</v>
      </c>
      <c r="E1" s="73"/>
      <c r="F1" s="73" t="s">
        <v>143</v>
      </c>
      <c r="G1" s="73" t="s">
        <v>144</v>
      </c>
      <c r="H1" s="88"/>
      <c r="I1" s="265">
        <f>COUNTIF(C3:G29,"*"&amp;O1&amp;"*")</f>
        <v>4</v>
      </c>
      <c r="J1" s="188" t="s">
        <v>449</v>
      </c>
      <c r="K1" s="62" t="s">
        <v>163</v>
      </c>
      <c r="L1" s="105" t="s">
        <v>142</v>
      </c>
      <c r="M1" s="62" t="s">
        <v>143</v>
      </c>
      <c r="N1" s="105" t="s">
        <v>144</v>
      </c>
      <c r="O1" s="89" t="str">
        <f>IF(J1="","   ",INDEX(J3:J49,MATCH("*"&amp;J1&amp;"*",J3:J49,0)))</f>
        <v>Schweden</v>
      </c>
      <c r="P1" s="90"/>
      <c r="Q1" s="151" t="s">
        <v>249</v>
      </c>
      <c r="V1" s="151" t="s">
        <v>288</v>
      </c>
      <c r="W1" s="151"/>
      <c r="X1" s="58"/>
      <c r="Y1" s="58"/>
    </row>
    <row r="2" spans="1:27" s="85" customFormat="1" ht="6" customHeight="1">
      <c r="A2" s="110"/>
      <c r="B2" s="86"/>
      <c r="C2" s="87"/>
      <c r="D2" s="73"/>
      <c r="E2" s="73"/>
      <c r="F2" s="73"/>
      <c r="G2" s="73"/>
      <c r="H2" s="88"/>
      <c r="I2" s="93"/>
      <c r="J2" s="93" t="s">
        <v>167</v>
      </c>
      <c r="K2" s="62"/>
      <c r="L2" s="105"/>
      <c r="M2" s="62"/>
      <c r="N2" s="105"/>
      <c r="O2" s="105"/>
      <c r="P2" s="90"/>
    </row>
    <row r="3" spans="1:27" ht="15">
      <c r="A3" s="111">
        <v>1930</v>
      </c>
      <c r="B3" s="80" t="s">
        <v>72</v>
      </c>
      <c r="C3" s="81" t="s">
        <v>72</v>
      </c>
      <c r="D3" s="80" t="s">
        <v>36</v>
      </c>
      <c r="E3" s="83" t="s">
        <v>147</v>
      </c>
      <c r="F3" s="80" t="s">
        <v>165</v>
      </c>
      <c r="G3" s="80"/>
      <c r="I3" s="82">
        <f>ROW(A1)</f>
        <v>1</v>
      </c>
      <c r="J3" s="80" t="s">
        <v>20</v>
      </c>
      <c r="K3" s="104">
        <f t="shared" ref="K3:K26" si="0">COUNTIF(C$3:C$25,"*"&amp;$J3&amp;"*")</f>
        <v>5</v>
      </c>
      <c r="L3" s="109">
        <f t="shared" ref="L3:L26" si="1">COUNTIF(D$3:D$25,"*"&amp;$J3&amp;"*")</f>
        <v>2</v>
      </c>
      <c r="M3" s="103">
        <f t="shared" ref="M3:M26" si="2">COUNTIF(F$3:F$25,"*"&amp;$J3&amp;"*")</f>
        <v>2</v>
      </c>
      <c r="N3" s="109">
        <f t="shared" ref="N3:N26" si="3">COUNTIF(G$3:G$25,"*"&amp;$J3&amp;"*")</f>
        <v>1</v>
      </c>
      <c r="O3" s="58">
        <f t="shared" ref="O3:O26" si="4">K3*1000+L3*100+M3*10+N3</f>
        <v>5221</v>
      </c>
      <c r="P3" s="79"/>
      <c r="Q3" s="150" t="s">
        <v>163</v>
      </c>
      <c r="R3" s="63" t="s">
        <v>329</v>
      </c>
      <c r="V3" s="111">
        <v>15</v>
      </c>
      <c r="W3" s="58" t="s">
        <v>293</v>
      </c>
      <c r="X3" s="80" t="s">
        <v>20</v>
      </c>
      <c r="Y3" s="58" t="s">
        <v>294</v>
      </c>
      <c r="Z3" s="85"/>
      <c r="AA3" s="85"/>
    </row>
    <row r="4" spans="1:27" ht="15">
      <c r="A4" s="111">
        <v>1934</v>
      </c>
      <c r="B4" s="80" t="s">
        <v>42</v>
      </c>
      <c r="C4" s="81" t="s">
        <v>42</v>
      </c>
      <c r="D4" s="80" t="s">
        <v>164</v>
      </c>
      <c r="E4" s="84" t="s">
        <v>148</v>
      </c>
      <c r="F4" s="80" t="s">
        <v>25</v>
      </c>
      <c r="G4" s="80" t="s">
        <v>161</v>
      </c>
      <c r="H4" s="78" t="s">
        <v>146</v>
      </c>
      <c r="I4" s="82">
        <f>IF(O4=O3,"",ROW(A2))</f>
        <v>2</v>
      </c>
      <c r="J4" s="80" t="s">
        <v>42</v>
      </c>
      <c r="K4" s="104">
        <f t="shared" si="0"/>
        <v>4</v>
      </c>
      <c r="L4" s="109">
        <f t="shared" si="1"/>
        <v>2</v>
      </c>
      <c r="M4" s="103">
        <f t="shared" si="2"/>
        <v>1</v>
      </c>
      <c r="N4" s="109">
        <f t="shared" si="3"/>
        <v>1</v>
      </c>
      <c r="O4" s="58">
        <f t="shared" si="4"/>
        <v>4211</v>
      </c>
      <c r="P4" s="79"/>
      <c r="Q4" s="150" t="s">
        <v>142</v>
      </c>
      <c r="R4" s="58" t="s">
        <v>251</v>
      </c>
      <c r="V4" s="111">
        <v>14</v>
      </c>
      <c r="W4" s="58" t="s">
        <v>297</v>
      </c>
      <c r="X4" s="80" t="s">
        <v>25</v>
      </c>
      <c r="Y4" s="58" t="s">
        <v>298</v>
      </c>
    </row>
    <row r="5" spans="1:27" ht="15">
      <c r="A5" s="111">
        <v>1938</v>
      </c>
      <c r="B5" s="80" t="s">
        <v>48</v>
      </c>
      <c r="C5" s="81" t="s">
        <v>42</v>
      </c>
      <c r="D5" s="80" t="s">
        <v>145</v>
      </c>
      <c r="E5" s="83" t="s">
        <v>147</v>
      </c>
      <c r="F5" s="80" t="s">
        <v>20</v>
      </c>
      <c r="G5" s="80" t="s">
        <v>35</v>
      </c>
      <c r="H5" s="78" t="s">
        <v>147</v>
      </c>
      <c r="I5" s="82">
        <f t="shared" ref="I5:I26" si="5">IF(O5=O4,"",ROW(A3))</f>
        <v>3</v>
      </c>
      <c r="J5" s="80" t="s">
        <v>25</v>
      </c>
      <c r="K5" s="104">
        <f t="shared" si="0"/>
        <v>3</v>
      </c>
      <c r="L5" s="109">
        <f t="shared" si="1"/>
        <v>4</v>
      </c>
      <c r="M5" s="103">
        <f t="shared" si="2"/>
        <v>4</v>
      </c>
      <c r="N5" s="109">
        <f t="shared" si="3"/>
        <v>1</v>
      </c>
      <c r="O5" s="58">
        <f t="shared" si="4"/>
        <v>3441</v>
      </c>
      <c r="P5" s="79"/>
      <c r="Q5" s="150" t="s">
        <v>143</v>
      </c>
      <c r="R5" s="58" t="s">
        <v>252</v>
      </c>
      <c r="V5" s="111"/>
      <c r="W5" s="58" t="s">
        <v>295</v>
      </c>
      <c r="X5" s="80" t="s">
        <v>25</v>
      </c>
      <c r="Y5" s="58" t="s">
        <v>296</v>
      </c>
    </row>
    <row r="6" spans="1:27" ht="15">
      <c r="A6" s="111">
        <v>1950</v>
      </c>
      <c r="B6" s="80" t="s">
        <v>20</v>
      </c>
      <c r="C6" s="81" t="s">
        <v>72</v>
      </c>
      <c r="D6" s="80" t="s">
        <v>20</v>
      </c>
      <c r="E6" s="187"/>
      <c r="F6" s="80" t="s">
        <v>35</v>
      </c>
      <c r="G6" s="80" t="s">
        <v>51</v>
      </c>
      <c r="I6" s="82">
        <f t="shared" si="5"/>
        <v>4</v>
      </c>
      <c r="J6" s="80" t="s">
        <v>36</v>
      </c>
      <c r="K6" s="104">
        <f t="shared" si="0"/>
        <v>2</v>
      </c>
      <c r="L6" s="109">
        <f t="shared" si="1"/>
        <v>2</v>
      </c>
      <c r="M6" s="103">
        <f t="shared" si="2"/>
        <v>0</v>
      </c>
      <c r="N6" s="109">
        <f t="shared" si="3"/>
        <v>0</v>
      </c>
      <c r="O6" s="58">
        <f t="shared" si="4"/>
        <v>2200</v>
      </c>
      <c r="P6" s="79"/>
      <c r="Q6" s="150" t="s">
        <v>144</v>
      </c>
      <c r="R6" s="58" t="s">
        <v>254</v>
      </c>
      <c r="V6" s="111">
        <v>13</v>
      </c>
      <c r="W6" s="58" t="s">
        <v>299</v>
      </c>
      <c r="X6" s="80" t="s">
        <v>48</v>
      </c>
      <c r="Y6" s="63" t="s">
        <v>351</v>
      </c>
    </row>
    <row r="7" spans="1:27" ht="15">
      <c r="A7" s="111">
        <v>1954</v>
      </c>
      <c r="B7" s="80" t="s">
        <v>49</v>
      </c>
      <c r="C7" s="81" t="s">
        <v>25</v>
      </c>
      <c r="D7" s="80" t="s">
        <v>145</v>
      </c>
      <c r="E7" s="83" t="s">
        <v>146</v>
      </c>
      <c r="F7" s="80" t="s">
        <v>161</v>
      </c>
      <c r="G7" s="80" t="s">
        <v>72</v>
      </c>
      <c r="H7" s="77" t="s">
        <v>152</v>
      </c>
      <c r="I7" s="82">
        <f t="shared" si="5"/>
        <v>5</v>
      </c>
      <c r="J7" s="80" t="s">
        <v>72</v>
      </c>
      <c r="K7" s="104">
        <f t="shared" si="0"/>
        <v>2</v>
      </c>
      <c r="L7" s="109">
        <f t="shared" si="1"/>
        <v>0</v>
      </c>
      <c r="M7" s="103">
        <f t="shared" si="2"/>
        <v>0</v>
      </c>
      <c r="N7" s="109">
        <f t="shared" si="3"/>
        <v>3</v>
      </c>
      <c r="O7" s="58">
        <f t="shared" si="4"/>
        <v>2003</v>
      </c>
      <c r="P7" s="79"/>
      <c r="Q7" s="150" t="s">
        <v>268</v>
      </c>
      <c r="R7" s="58" t="s">
        <v>255</v>
      </c>
      <c r="V7" s="111">
        <v>12</v>
      </c>
      <c r="W7" s="58" t="s">
        <v>300</v>
      </c>
      <c r="X7" s="80" t="s">
        <v>20</v>
      </c>
      <c r="Y7" s="58" t="s">
        <v>301</v>
      </c>
    </row>
    <row r="8" spans="1:27" ht="15">
      <c r="A8" s="111">
        <v>1958</v>
      </c>
      <c r="B8" s="80" t="s">
        <v>35</v>
      </c>
      <c r="C8" s="81" t="s">
        <v>20</v>
      </c>
      <c r="D8" s="80" t="s">
        <v>35</v>
      </c>
      <c r="E8" s="83" t="s">
        <v>158</v>
      </c>
      <c r="F8" s="80" t="s">
        <v>48</v>
      </c>
      <c r="G8" s="80" t="s">
        <v>25</v>
      </c>
      <c r="H8" s="78" t="s">
        <v>160</v>
      </c>
      <c r="I8" s="82">
        <f t="shared" si="5"/>
        <v>6</v>
      </c>
      <c r="J8" s="80" t="s">
        <v>48</v>
      </c>
      <c r="K8" s="104">
        <f t="shared" si="0"/>
        <v>1</v>
      </c>
      <c r="L8" s="109">
        <f t="shared" si="1"/>
        <v>1</v>
      </c>
      <c r="M8" s="103">
        <f t="shared" si="2"/>
        <v>2</v>
      </c>
      <c r="N8" s="109">
        <f t="shared" si="3"/>
        <v>1</v>
      </c>
      <c r="O8" s="58">
        <f t="shared" si="4"/>
        <v>1121</v>
      </c>
      <c r="P8" s="79" t="s">
        <v>324</v>
      </c>
      <c r="Q8" s="150"/>
      <c r="R8" s="58" t="s">
        <v>256</v>
      </c>
      <c r="U8" s="112"/>
      <c r="V8" s="111">
        <v>11</v>
      </c>
      <c r="W8" s="63" t="s">
        <v>350</v>
      </c>
      <c r="X8" s="80" t="s">
        <v>145</v>
      </c>
      <c r="Y8" s="58" t="s">
        <v>304</v>
      </c>
    </row>
    <row r="9" spans="1:27" ht="15">
      <c r="A9" s="111">
        <v>1962</v>
      </c>
      <c r="B9" s="80" t="s">
        <v>66</v>
      </c>
      <c r="C9" s="81" t="s">
        <v>20</v>
      </c>
      <c r="D9" s="80" t="s">
        <v>164</v>
      </c>
      <c r="E9" s="83" t="s">
        <v>152</v>
      </c>
      <c r="F9" s="80" t="s">
        <v>66</v>
      </c>
      <c r="G9" s="80" t="s">
        <v>54</v>
      </c>
      <c r="H9" s="78" t="s">
        <v>155</v>
      </c>
      <c r="I9" s="82">
        <f t="shared" si="5"/>
        <v>7</v>
      </c>
      <c r="J9" s="80" t="s">
        <v>33</v>
      </c>
      <c r="K9" s="104">
        <f t="shared" si="0"/>
        <v>1</v>
      </c>
      <c r="L9" s="109">
        <f t="shared" si="1"/>
        <v>0</v>
      </c>
      <c r="M9" s="103">
        <f t="shared" si="2"/>
        <v>0</v>
      </c>
      <c r="N9" s="109">
        <f t="shared" si="3"/>
        <v>1</v>
      </c>
      <c r="O9" s="58">
        <f t="shared" si="4"/>
        <v>1001</v>
      </c>
      <c r="P9" s="79"/>
      <c r="Q9" s="150" t="s">
        <v>284</v>
      </c>
      <c r="R9" s="58" t="s">
        <v>274</v>
      </c>
      <c r="U9" s="130"/>
      <c r="V9" s="111"/>
      <c r="W9" s="58" t="s">
        <v>302</v>
      </c>
      <c r="X9" s="80" t="s">
        <v>25</v>
      </c>
      <c r="Y9" s="58" t="s">
        <v>303</v>
      </c>
    </row>
    <row r="10" spans="1:27" ht="15">
      <c r="A10" s="111">
        <v>1966</v>
      </c>
      <c r="B10" s="80" t="s">
        <v>33</v>
      </c>
      <c r="C10" s="81" t="s">
        <v>33</v>
      </c>
      <c r="D10" s="80" t="s">
        <v>25</v>
      </c>
      <c r="E10" s="83" t="s">
        <v>147</v>
      </c>
      <c r="F10" s="80" t="s">
        <v>41</v>
      </c>
      <c r="G10" s="80" t="s">
        <v>211</v>
      </c>
      <c r="H10" s="77" t="s">
        <v>148</v>
      </c>
      <c r="I10" s="82" t="str">
        <f t="shared" si="5"/>
        <v/>
      </c>
      <c r="J10" s="80" t="s">
        <v>51</v>
      </c>
      <c r="K10" s="104">
        <f t="shared" si="0"/>
        <v>1</v>
      </c>
      <c r="L10" s="109">
        <f t="shared" si="1"/>
        <v>0</v>
      </c>
      <c r="M10" s="103">
        <f t="shared" si="2"/>
        <v>0</v>
      </c>
      <c r="N10" s="109">
        <f t="shared" si="3"/>
        <v>1</v>
      </c>
      <c r="O10" s="58">
        <f t="shared" si="4"/>
        <v>1001</v>
      </c>
      <c r="P10" s="79"/>
      <c r="Q10" s="150"/>
      <c r="R10" s="58" t="s">
        <v>257</v>
      </c>
      <c r="V10" s="111">
        <v>10</v>
      </c>
      <c r="W10" s="58" t="s">
        <v>312</v>
      </c>
      <c r="X10" s="80" t="s">
        <v>25</v>
      </c>
      <c r="Y10" s="58" t="s">
        <v>313</v>
      </c>
    </row>
    <row r="11" spans="1:27" ht="15">
      <c r="A11" s="111">
        <v>1970</v>
      </c>
      <c r="B11" s="80" t="s">
        <v>156</v>
      </c>
      <c r="C11" s="81" t="s">
        <v>20</v>
      </c>
      <c r="D11" s="80" t="s">
        <v>42</v>
      </c>
      <c r="E11" s="83" t="s">
        <v>159</v>
      </c>
      <c r="F11" s="80" t="s">
        <v>25</v>
      </c>
      <c r="G11" s="80" t="s">
        <v>72</v>
      </c>
      <c r="H11" s="78" t="s">
        <v>155</v>
      </c>
      <c r="I11" s="82">
        <f t="shared" si="5"/>
        <v>9</v>
      </c>
      <c r="J11" s="80" t="s">
        <v>37</v>
      </c>
      <c r="K11" s="104">
        <f t="shared" si="0"/>
        <v>0</v>
      </c>
      <c r="L11" s="109">
        <f t="shared" si="1"/>
        <v>3</v>
      </c>
      <c r="M11" s="103">
        <f t="shared" si="2"/>
        <v>0</v>
      </c>
      <c r="N11" s="109">
        <f t="shared" si="3"/>
        <v>1</v>
      </c>
      <c r="O11" s="58">
        <f t="shared" si="4"/>
        <v>301</v>
      </c>
      <c r="P11" s="79"/>
      <c r="Q11" s="150"/>
      <c r="R11" s="58" t="s">
        <v>280</v>
      </c>
      <c r="V11" s="111"/>
      <c r="W11" s="63" t="s">
        <v>349</v>
      </c>
      <c r="X11" s="80" t="s">
        <v>171</v>
      </c>
      <c r="Y11" s="58" t="s">
        <v>307</v>
      </c>
    </row>
    <row r="12" spans="1:27" ht="15">
      <c r="A12" s="111">
        <v>1974</v>
      </c>
      <c r="B12" s="80" t="s">
        <v>25</v>
      </c>
      <c r="C12" s="81" t="s">
        <v>25</v>
      </c>
      <c r="D12" s="80" t="s">
        <v>37</v>
      </c>
      <c r="E12" s="84" t="s">
        <v>148</v>
      </c>
      <c r="F12" s="80" t="s">
        <v>31</v>
      </c>
      <c r="G12" s="80" t="s">
        <v>20</v>
      </c>
      <c r="H12" s="78" t="s">
        <v>155</v>
      </c>
      <c r="I12" s="82">
        <f t="shared" si="5"/>
        <v>10</v>
      </c>
      <c r="J12" s="80" t="s">
        <v>164</v>
      </c>
      <c r="K12" s="104">
        <f t="shared" si="0"/>
        <v>0</v>
      </c>
      <c r="L12" s="109">
        <f t="shared" si="1"/>
        <v>2</v>
      </c>
      <c r="M12" s="103">
        <f t="shared" si="2"/>
        <v>0</v>
      </c>
      <c r="N12" s="109">
        <f t="shared" si="3"/>
        <v>0</v>
      </c>
      <c r="O12" s="58">
        <f t="shared" si="4"/>
        <v>200</v>
      </c>
      <c r="P12" s="79"/>
      <c r="Q12" s="63" t="s">
        <v>285</v>
      </c>
      <c r="R12" s="58" t="s">
        <v>258</v>
      </c>
      <c r="V12" s="111"/>
      <c r="W12" s="58" t="s">
        <v>308</v>
      </c>
      <c r="X12" s="80" t="s">
        <v>31</v>
      </c>
      <c r="Y12" s="58" t="s">
        <v>309</v>
      </c>
    </row>
    <row r="13" spans="1:27" ht="15">
      <c r="A13" s="111">
        <v>1978</v>
      </c>
      <c r="B13" s="80" t="s">
        <v>36</v>
      </c>
      <c r="C13" s="81" t="s">
        <v>36</v>
      </c>
      <c r="D13" s="80" t="s">
        <v>37</v>
      </c>
      <c r="E13" s="83" t="s">
        <v>152</v>
      </c>
      <c r="F13" s="80" t="s">
        <v>20</v>
      </c>
      <c r="G13" s="80" t="s">
        <v>42</v>
      </c>
      <c r="H13" s="77" t="s">
        <v>148</v>
      </c>
      <c r="I13" s="82" t="str">
        <f t="shared" si="5"/>
        <v/>
      </c>
      <c r="J13" s="80" t="s">
        <v>145</v>
      </c>
      <c r="K13" s="104">
        <f t="shared" si="0"/>
        <v>0</v>
      </c>
      <c r="L13" s="109">
        <f t="shared" si="1"/>
        <v>2</v>
      </c>
      <c r="M13" s="103">
        <f t="shared" si="2"/>
        <v>0</v>
      </c>
      <c r="N13" s="109">
        <f t="shared" si="3"/>
        <v>0</v>
      </c>
      <c r="O13" s="58">
        <f t="shared" si="4"/>
        <v>200</v>
      </c>
      <c r="P13" s="79"/>
      <c r="Q13" s="150"/>
      <c r="R13" s="58" t="s">
        <v>259</v>
      </c>
      <c r="V13" s="111"/>
      <c r="W13" s="58" t="s">
        <v>310</v>
      </c>
      <c r="X13" s="80" t="s">
        <v>33</v>
      </c>
      <c r="Y13" s="58" t="s">
        <v>311</v>
      </c>
    </row>
    <row r="14" spans="1:27" ht="15">
      <c r="A14" s="111">
        <v>1982</v>
      </c>
      <c r="B14" s="80" t="s">
        <v>51</v>
      </c>
      <c r="C14" s="81" t="s">
        <v>42</v>
      </c>
      <c r="D14" s="80" t="s">
        <v>25</v>
      </c>
      <c r="E14" s="83" t="s">
        <v>152</v>
      </c>
      <c r="F14" s="80" t="s">
        <v>31</v>
      </c>
      <c r="G14" s="80" t="s">
        <v>48</v>
      </c>
      <c r="H14" s="78" t="s">
        <v>146</v>
      </c>
      <c r="I14" s="82">
        <f t="shared" si="5"/>
        <v>12</v>
      </c>
      <c r="J14" s="80" t="s">
        <v>35</v>
      </c>
      <c r="K14" s="104">
        <f t="shared" si="0"/>
        <v>0</v>
      </c>
      <c r="L14" s="109">
        <f t="shared" si="1"/>
        <v>1</v>
      </c>
      <c r="M14" s="103">
        <f t="shared" si="2"/>
        <v>2</v>
      </c>
      <c r="N14" s="109">
        <f t="shared" si="3"/>
        <v>1</v>
      </c>
      <c r="O14" s="58">
        <f t="shared" si="4"/>
        <v>121</v>
      </c>
      <c r="P14" s="79"/>
      <c r="Q14" s="150" t="s">
        <v>286</v>
      </c>
      <c r="R14" s="58" t="s">
        <v>253</v>
      </c>
      <c r="V14" s="111"/>
      <c r="W14" s="58" t="s">
        <v>305</v>
      </c>
      <c r="X14" s="80" t="s">
        <v>36</v>
      </c>
      <c r="Y14" s="58" t="s">
        <v>306</v>
      </c>
    </row>
    <row r="15" spans="1:27" ht="15">
      <c r="A15" s="111">
        <v>1986</v>
      </c>
      <c r="B15" s="80" t="s">
        <v>156</v>
      </c>
      <c r="C15" s="81" t="s">
        <v>36</v>
      </c>
      <c r="D15" s="80" t="s">
        <v>25</v>
      </c>
      <c r="E15" s="83" t="s">
        <v>146</v>
      </c>
      <c r="F15" s="80" t="s">
        <v>48</v>
      </c>
      <c r="G15" s="80" t="s">
        <v>157</v>
      </c>
      <c r="H15" s="78" t="s">
        <v>147</v>
      </c>
      <c r="I15" s="82">
        <f t="shared" si="5"/>
        <v>13</v>
      </c>
      <c r="J15" s="80" t="s">
        <v>31</v>
      </c>
      <c r="K15" s="104">
        <f t="shared" si="0"/>
        <v>0</v>
      </c>
      <c r="L15" s="109">
        <f t="shared" si="1"/>
        <v>0</v>
      </c>
      <c r="M15" s="103">
        <f t="shared" si="2"/>
        <v>2</v>
      </c>
      <c r="N15" s="109">
        <f t="shared" si="3"/>
        <v>0</v>
      </c>
      <c r="O15" s="58">
        <f t="shared" si="4"/>
        <v>20</v>
      </c>
      <c r="P15" s="79"/>
      <c r="Q15" s="150" t="s">
        <v>269</v>
      </c>
      <c r="R15" s="58" t="s">
        <v>260</v>
      </c>
      <c r="X15" s="80"/>
    </row>
    <row r="16" spans="1:27" ht="15">
      <c r="A16" s="111">
        <v>1990</v>
      </c>
      <c r="B16" s="80" t="s">
        <v>42</v>
      </c>
      <c r="C16" s="81" t="s">
        <v>25</v>
      </c>
      <c r="D16" s="80" t="s">
        <v>36</v>
      </c>
      <c r="E16" s="83" t="s">
        <v>155</v>
      </c>
      <c r="F16" s="80" t="s">
        <v>42</v>
      </c>
      <c r="G16" s="80" t="s">
        <v>33</v>
      </c>
      <c r="H16" s="77" t="s">
        <v>148</v>
      </c>
      <c r="I16" s="82">
        <f t="shared" si="5"/>
        <v>14</v>
      </c>
      <c r="J16" s="80" t="s">
        <v>161</v>
      </c>
      <c r="K16" s="104">
        <f t="shared" si="0"/>
        <v>0</v>
      </c>
      <c r="L16" s="109">
        <f t="shared" si="1"/>
        <v>0</v>
      </c>
      <c r="M16" s="103">
        <f t="shared" si="2"/>
        <v>1</v>
      </c>
      <c r="N16" s="109">
        <f t="shared" si="3"/>
        <v>1</v>
      </c>
      <c r="O16" s="58">
        <f t="shared" si="4"/>
        <v>11</v>
      </c>
      <c r="P16" s="79"/>
      <c r="Q16" s="150" t="s">
        <v>270</v>
      </c>
      <c r="R16" s="58" t="s">
        <v>261</v>
      </c>
      <c r="X16" s="80"/>
    </row>
    <row r="17" spans="1:24" ht="15">
      <c r="A17" s="111">
        <v>1994</v>
      </c>
      <c r="B17" s="80" t="s">
        <v>44</v>
      </c>
      <c r="C17" s="81" t="s">
        <v>20</v>
      </c>
      <c r="D17" s="80" t="s">
        <v>42</v>
      </c>
      <c r="E17" s="83" t="s">
        <v>347</v>
      </c>
      <c r="F17" s="80" t="s">
        <v>35</v>
      </c>
      <c r="G17" s="80" t="s">
        <v>153</v>
      </c>
      <c r="H17" s="78" t="s">
        <v>154</v>
      </c>
      <c r="I17" s="82" t="str">
        <f t="shared" si="5"/>
        <v/>
      </c>
      <c r="J17" s="80" t="s">
        <v>41</v>
      </c>
      <c r="K17" s="104">
        <f t="shared" si="0"/>
        <v>0</v>
      </c>
      <c r="L17" s="109">
        <f t="shared" si="1"/>
        <v>0</v>
      </c>
      <c r="M17" s="103">
        <f t="shared" si="2"/>
        <v>1</v>
      </c>
      <c r="N17" s="109">
        <f t="shared" si="3"/>
        <v>1</v>
      </c>
      <c r="O17" s="58">
        <f t="shared" si="4"/>
        <v>11</v>
      </c>
      <c r="P17" s="79"/>
      <c r="Q17" s="150" t="s">
        <v>271</v>
      </c>
      <c r="R17" s="58" t="s">
        <v>263</v>
      </c>
      <c r="X17" s="80"/>
    </row>
    <row r="18" spans="1:24" ht="15">
      <c r="A18" s="111">
        <v>1998</v>
      </c>
      <c r="B18" s="80" t="s">
        <v>48</v>
      </c>
      <c r="C18" s="81" t="s">
        <v>48</v>
      </c>
      <c r="D18" s="80" t="s">
        <v>20</v>
      </c>
      <c r="E18" s="83" t="s">
        <v>149</v>
      </c>
      <c r="F18" s="80" t="s">
        <v>45</v>
      </c>
      <c r="G18" s="80" t="s">
        <v>37</v>
      </c>
      <c r="H18" s="77" t="s">
        <v>148</v>
      </c>
      <c r="I18" s="82" t="str">
        <f t="shared" si="5"/>
        <v/>
      </c>
      <c r="J18" s="80" t="s">
        <v>54</v>
      </c>
      <c r="K18" s="104">
        <f t="shared" si="0"/>
        <v>0</v>
      </c>
      <c r="L18" s="109">
        <f t="shared" si="1"/>
        <v>0</v>
      </c>
      <c r="M18" s="103">
        <f t="shared" si="2"/>
        <v>1</v>
      </c>
      <c r="N18" s="109">
        <f t="shared" si="3"/>
        <v>1</v>
      </c>
      <c r="O18" s="58">
        <f t="shared" si="4"/>
        <v>11</v>
      </c>
      <c r="P18" s="79"/>
      <c r="Q18" s="150" t="s">
        <v>272</v>
      </c>
      <c r="R18" s="58" t="s">
        <v>290</v>
      </c>
    </row>
    <row r="19" spans="1:24" ht="15">
      <c r="A19" s="111">
        <v>2002</v>
      </c>
      <c r="B19" s="80" t="s">
        <v>162</v>
      </c>
      <c r="C19" s="81" t="s">
        <v>20</v>
      </c>
      <c r="D19" s="80" t="s">
        <v>25</v>
      </c>
      <c r="E19" s="83" t="s">
        <v>150</v>
      </c>
      <c r="F19" s="80" t="s">
        <v>151</v>
      </c>
      <c r="G19" s="80" t="s">
        <v>60</v>
      </c>
      <c r="H19" s="78" t="s">
        <v>146</v>
      </c>
      <c r="I19" s="82">
        <f t="shared" si="5"/>
        <v>17</v>
      </c>
      <c r="J19" s="80" t="s">
        <v>66</v>
      </c>
      <c r="K19" s="104">
        <f t="shared" si="0"/>
        <v>0</v>
      </c>
      <c r="L19" s="109">
        <f t="shared" si="1"/>
        <v>0</v>
      </c>
      <c r="M19" s="103">
        <f t="shared" si="2"/>
        <v>1</v>
      </c>
      <c r="N19" s="109">
        <f t="shared" si="3"/>
        <v>0</v>
      </c>
      <c r="O19" s="58">
        <f t="shared" si="4"/>
        <v>10</v>
      </c>
      <c r="P19" s="79"/>
      <c r="Q19" s="150" t="s">
        <v>273</v>
      </c>
      <c r="R19" s="58" t="s">
        <v>282</v>
      </c>
    </row>
    <row r="20" spans="1:24" ht="15">
      <c r="A20" s="111">
        <v>2006</v>
      </c>
      <c r="B20" s="80" t="s">
        <v>25</v>
      </c>
      <c r="C20" s="81" t="s">
        <v>42</v>
      </c>
      <c r="D20" s="80" t="s">
        <v>48</v>
      </c>
      <c r="E20" s="81" t="s">
        <v>348</v>
      </c>
      <c r="F20" s="80" t="s">
        <v>25</v>
      </c>
      <c r="G20" s="80" t="s">
        <v>41</v>
      </c>
      <c r="H20" s="77" t="s">
        <v>152</v>
      </c>
      <c r="I20" s="82" t="str">
        <f t="shared" si="5"/>
        <v/>
      </c>
      <c r="J20" s="80" t="s">
        <v>45</v>
      </c>
      <c r="K20" s="104">
        <f t="shared" si="0"/>
        <v>0</v>
      </c>
      <c r="L20" s="109">
        <f t="shared" si="1"/>
        <v>0</v>
      </c>
      <c r="M20" s="103">
        <f t="shared" si="2"/>
        <v>1</v>
      </c>
      <c r="N20" s="109">
        <f t="shared" si="3"/>
        <v>0</v>
      </c>
      <c r="O20" s="58">
        <f t="shared" si="4"/>
        <v>10</v>
      </c>
      <c r="P20" s="79"/>
      <c r="Q20" s="150"/>
      <c r="R20" s="58" t="s">
        <v>275</v>
      </c>
    </row>
    <row r="21" spans="1:24" ht="15">
      <c r="A21" s="111">
        <v>2010</v>
      </c>
      <c r="B21" s="80" t="s">
        <v>61</v>
      </c>
      <c r="C21" s="81" t="s">
        <v>51</v>
      </c>
      <c r="D21" s="80" t="s">
        <v>37</v>
      </c>
      <c r="E21" s="83" t="s">
        <v>155</v>
      </c>
      <c r="F21" s="80" t="s">
        <v>25</v>
      </c>
      <c r="G21" s="80" t="s">
        <v>72</v>
      </c>
      <c r="H21" s="77" t="s">
        <v>146</v>
      </c>
      <c r="I21" s="82" t="str">
        <f t="shared" si="5"/>
        <v/>
      </c>
      <c r="J21" s="80" t="s">
        <v>151</v>
      </c>
      <c r="K21" s="104">
        <f t="shared" si="0"/>
        <v>0</v>
      </c>
      <c r="L21" s="109">
        <f t="shared" si="1"/>
        <v>0</v>
      </c>
      <c r="M21" s="103">
        <f t="shared" si="2"/>
        <v>1</v>
      </c>
      <c r="N21" s="109">
        <f t="shared" si="3"/>
        <v>0</v>
      </c>
      <c r="O21" s="58">
        <f t="shared" si="4"/>
        <v>10</v>
      </c>
      <c r="P21" s="79"/>
      <c r="Q21" s="63" t="s">
        <v>287</v>
      </c>
      <c r="R21" s="58" t="s">
        <v>264</v>
      </c>
    </row>
    <row r="22" spans="1:24" ht="15">
      <c r="A22" s="111">
        <v>2014</v>
      </c>
      <c r="B22" s="80" t="s">
        <v>20</v>
      </c>
      <c r="C22" s="81"/>
      <c r="D22" s="80"/>
      <c r="F22" s="80"/>
      <c r="G22" s="80"/>
      <c r="I22" s="82" t="str">
        <f t="shared" si="5"/>
        <v/>
      </c>
      <c r="J22" s="80" t="s">
        <v>44</v>
      </c>
      <c r="K22" s="104">
        <f t="shared" si="0"/>
        <v>0</v>
      </c>
      <c r="L22" s="109">
        <f t="shared" si="1"/>
        <v>0</v>
      </c>
      <c r="M22" s="103">
        <f t="shared" si="2"/>
        <v>1</v>
      </c>
      <c r="N22" s="109">
        <f t="shared" si="3"/>
        <v>0</v>
      </c>
      <c r="O22" s="58">
        <f t="shared" si="4"/>
        <v>10</v>
      </c>
      <c r="P22" s="79"/>
      <c r="Q22" s="150" t="s">
        <v>276</v>
      </c>
      <c r="R22" s="58" t="s">
        <v>262</v>
      </c>
    </row>
    <row r="23" spans="1:24" ht="15">
      <c r="A23" s="111">
        <v>2018</v>
      </c>
      <c r="B23" s="80" t="s">
        <v>211</v>
      </c>
      <c r="C23" s="81"/>
      <c r="D23" s="80"/>
      <c r="F23" s="80"/>
      <c r="G23" s="80"/>
      <c r="I23" s="82">
        <f t="shared" si="5"/>
        <v>21</v>
      </c>
      <c r="J23" s="80" t="s">
        <v>157</v>
      </c>
      <c r="K23" s="104">
        <f t="shared" si="0"/>
        <v>0</v>
      </c>
      <c r="L23" s="109">
        <f t="shared" si="1"/>
        <v>0</v>
      </c>
      <c r="M23" s="103">
        <f t="shared" si="2"/>
        <v>0</v>
      </c>
      <c r="N23" s="109">
        <f t="shared" si="3"/>
        <v>1</v>
      </c>
      <c r="O23" s="58">
        <f t="shared" si="4"/>
        <v>1</v>
      </c>
      <c r="P23" s="79"/>
      <c r="Q23" s="150" t="s">
        <v>277</v>
      </c>
      <c r="R23" s="58" t="s">
        <v>265</v>
      </c>
    </row>
    <row r="24" spans="1:24" ht="15">
      <c r="A24" s="111">
        <v>2022</v>
      </c>
      <c r="B24" s="80" t="s">
        <v>318</v>
      </c>
      <c r="C24" s="81"/>
      <c r="D24" s="80"/>
      <c r="F24" s="80"/>
      <c r="G24" s="80"/>
      <c r="I24" s="82" t="str">
        <f t="shared" si="5"/>
        <v/>
      </c>
      <c r="J24" s="80" t="s">
        <v>153</v>
      </c>
      <c r="K24" s="104">
        <f t="shared" si="0"/>
        <v>0</v>
      </c>
      <c r="L24" s="109">
        <f t="shared" si="1"/>
        <v>0</v>
      </c>
      <c r="M24" s="103">
        <f t="shared" si="2"/>
        <v>0</v>
      </c>
      <c r="N24" s="109">
        <f t="shared" si="3"/>
        <v>1</v>
      </c>
      <c r="O24" s="58">
        <f t="shared" si="4"/>
        <v>1</v>
      </c>
      <c r="P24" s="79"/>
      <c r="Q24" s="150" t="s">
        <v>281</v>
      </c>
      <c r="R24" s="58" t="s">
        <v>266</v>
      </c>
    </row>
    <row r="25" spans="1:24" ht="15">
      <c r="C25" s="165" t="s">
        <v>291</v>
      </c>
      <c r="I25" s="82" t="str">
        <f t="shared" si="5"/>
        <v/>
      </c>
      <c r="J25" s="80" t="s">
        <v>211</v>
      </c>
      <c r="K25" s="104">
        <f t="shared" si="0"/>
        <v>0</v>
      </c>
      <c r="L25" s="109">
        <f t="shared" si="1"/>
        <v>0</v>
      </c>
      <c r="M25" s="103">
        <f t="shared" si="2"/>
        <v>0</v>
      </c>
      <c r="N25" s="109">
        <f t="shared" si="3"/>
        <v>1</v>
      </c>
      <c r="O25" s="58">
        <f t="shared" si="4"/>
        <v>1</v>
      </c>
      <c r="P25" s="79"/>
      <c r="Q25" s="150" t="s">
        <v>283</v>
      </c>
      <c r="R25" s="58" t="s">
        <v>267</v>
      </c>
    </row>
    <row r="26" spans="1:24" ht="15">
      <c r="I26" s="82" t="str">
        <f t="shared" si="5"/>
        <v/>
      </c>
      <c r="J26" s="80" t="s">
        <v>60</v>
      </c>
      <c r="K26" s="104">
        <f t="shared" si="0"/>
        <v>0</v>
      </c>
      <c r="L26" s="109">
        <f t="shared" si="1"/>
        <v>0</v>
      </c>
      <c r="M26" s="103">
        <f t="shared" si="2"/>
        <v>0</v>
      </c>
      <c r="N26" s="109">
        <f t="shared" si="3"/>
        <v>1</v>
      </c>
      <c r="O26" s="58">
        <f t="shared" si="4"/>
        <v>1</v>
      </c>
      <c r="P26" s="79"/>
    </row>
    <row r="27" spans="1:24">
      <c r="J27" s="80"/>
      <c r="K27" s="58"/>
      <c r="L27" s="106"/>
      <c r="M27" s="58"/>
      <c r="N27" s="106"/>
      <c r="P27" s="58"/>
    </row>
    <row r="28" spans="1:24">
      <c r="A28" s="184" t="s">
        <v>168</v>
      </c>
      <c r="I28" s="75"/>
      <c r="J28" s="80"/>
      <c r="K28" s="58"/>
      <c r="L28" s="106"/>
      <c r="M28" s="58"/>
      <c r="N28" s="106"/>
      <c r="P28" s="58"/>
    </row>
    <row r="29" spans="1:24">
      <c r="J29" s="80"/>
      <c r="K29" s="58"/>
      <c r="L29" s="106"/>
      <c r="M29" s="58"/>
      <c r="N29" s="106"/>
      <c r="P29" s="58"/>
    </row>
    <row r="30" spans="1:24" ht="15">
      <c r="I30" s="75"/>
      <c r="J30" s="156" t="s">
        <v>315</v>
      </c>
      <c r="K30" s="58"/>
      <c r="L30" s="106"/>
      <c r="M30" s="58"/>
      <c r="N30" s="106"/>
      <c r="P30" s="58"/>
      <c r="S30" s="157">
        <f t="array" ref="S30">SUM(MID(R3:R25,FIND(" ",R3:R25)+1,1)*1)</f>
        <v>22</v>
      </c>
      <c r="T30" s="158" t="str">
        <f t="array" ref="T30">": "&amp;SUM(MID(R3:R25,FIND(":",R3:R25)+1,1)*1)</f>
        <v>: 22</v>
      </c>
    </row>
    <row r="31" spans="1:24" ht="15">
      <c r="C31" s="244" t="s">
        <v>356</v>
      </c>
      <c r="D31" s="244" t="s">
        <v>355</v>
      </c>
      <c r="F31" s="244" t="s">
        <v>141</v>
      </c>
      <c r="G31" s="263" t="s">
        <v>435</v>
      </c>
      <c r="L31" s="107"/>
      <c r="O31" s="58">
        <f>K31*1000+L31*100+M31*10+N31</f>
        <v>0</v>
      </c>
      <c r="P31" s="79"/>
      <c r="S31" s="63" t="s">
        <v>320</v>
      </c>
    </row>
    <row r="32" spans="1:24" ht="15">
      <c r="A32" s="111">
        <v>2018</v>
      </c>
      <c r="B32" s="63" t="s">
        <v>211</v>
      </c>
      <c r="P32" s="79"/>
      <c r="S32" s="63" t="s">
        <v>321</v>
      </c>
    </row>
    <row r="33" spans="1:16" ht="15">
      <c r="A33" s="111">
        <v>2014</v>
      </c>
      <c r="B33" s="63" t="s">
        <v>20</v>
      </c>
      <c r="P33" s="79"/>
    </row>
    <row r="34" spans="1:16">
      <c r="A34" s="111">
        <v>2010</v>
      </c>
      <c r="B34" s="80" t="s">
        <v>61</v>
      </c>
      <c r="C34" s="63" t="s">
        <v>23</v>
      </c>
      <c r="D34" s="239" t="s">
        <v>51</v>
      </c>
      <c r="E34" s="242" t="s">
        <v>224</v>
      </c>
      <c r="F34" s="63" t="s">
        <v>51</v>
      </c>
      <c r="G34" s="261" t="s">
        <v>434</v>
      </c>
      <c r="I34" s="75"/>
    </row>
    <row r="35" spans="1:16">
      <c r="A35" s="111">
        <v>2006</v>
      </c>
      <c r="B35" s="80" t="s">
        <v>25</v>
      </c>
      <c r="C35" s="63" t="s">
        <v>23</v>
      </c>
      <c r="D35" s="239" t="s">
        <v>42</v>
      </c>
      <c r="E35" s="242" t="s">
        <v>218</v>
      </c>
      <c r="F35" s="63" t="s">
        <v>42</v>
      </c>
      <c r="G35" s="261" t="s">
        <v>433</v>
      </c>
    </row>
    <row r="36" spans="1:16">
      <c r="A36" s="111">
        <v>2002</v>
      </c>
      <c r="B36" s="80" t="s">
        <v>162</v>
      </c>
      <c r="C36" s="63" t="s">
        <v>339</v>
      </c>
      <c r="D36" s="239" t="s">
        <v>20</v>
      </c>
      <c r="E36" s="242" t="s">
        <v>218</v>
      </c>
      <c r="F36" s="63" t="s">
        <v>20</v>
      </c>
      <c r="G36" s="261" t="s">
        <v>432</v>
      </c>
      <c r="I36" s="75"/>
    </row>
    <row r="37" spans="1:16">
      <c r="A37" s="111">
        <v>1998</v>
      </c>
      <c r="B37" s="80" t="s">
        <v>48</v>
      </c>
      <c r="C37" s="63" t="s">
        <v>22</v>
      </c>
      <c r="D37" s="239" t="s">
        <v>45</v>
      </c>
      <c r="E37" s="242" t="s">
        <v>236</v>
      </c>
      <c r="F37" s="63" t="s">
        <v>48</v>
      </c>
      <c r="G37" s="261" t="s">
        <v>431</v>
      </c>
    </row>
    <row r="38" spans="1:16">
      <c r="A38" s="111">
        <v>1994</v>
      </c>
      <c r="B38" s="80" t="s">
        <v>44</v>
      </c>
      <c r="C38" s="63" t="s">
        <v>22</v>
      </c>
      <c r="D38" s="239" t="s">
        <v>153</v>
      </c>
      <c r="E38" s="242" t="s">
        <v>233</v>
      </c>
      <c r="F38" s="63" t="s">
        <v>20</v>
      </c>
      <c r="G38" s="261" t="s">
        <v>430</v>
      </c>
    </row>
    <row r="39" spans="1:16">
      <c r="A39" s="111">
        <v>1990</v>
      </c>
      <c r="B39" s="80" t="s">
        <v>42</v>
      </c>
      <c r="C39" s="63" t="s">
        <v>339</v>
      </c>
      <c r="D39" s="63" t="s">
        <v>36</v>
      </c>
      <c r="E39" s="241" t="s">
        <v>220</v>
      </c>
      <c r="F39" s="63" t="s">
        <v>25</v>
      </c>
      <c r="G39" s="261" t="s">
        <v>429</v>
      </c>
    </row>
    <row r="40" spans="1:16">
      <c r="A40" s="111">
        <v>1986</v>
      </c>
      <c r="B40" s="80" t="s">
        <v>156</v>
      </c>
      <c r="C40" s="63" t="s">
        <v>339</v>
      </c>
      <c r="D40" s="239" t="s">
        <v>36</v>
      </c>
      <c r="E40" s="240" t="s">
        <v>226</v>
      </c>
      <c r="F40" s="63" t="s">
        <v>36</v>
      </c>
      <c r="G40" s="261" t="s">
        <v>428</v>
      </c>
      <c r="I40" s="75"/>
    </row>
    <row r="41" spans="1:16">
      <c r="A41" s="111">
        <v>1982</v>
      </c>
      <c r="B41" s="80" t="s">
        <v>51</v>
      </c>
      <c r="C41" s="63" t="s">
        <v>339</v>
      </c>
      <c r="D41" s="239" t="s">
        <v>42</v>
      </c>
      <c r="E41" s="242" t="s">
        <v>225</v>
      </c>
      <c r="F41" s="63" t="s">
        <v>42</v>
      </c>
      <c r="G41" s="261" t="s">
        <v>427</v>
      </c>
    </row>
    <row r="42" spans="1:16">
      <c r="A42" s="111">
        <v>1978</v>
      </c>
      <c r="B42" s="80" t="s">
        <v>36</v>
      </c>
      <c r="C42" s="63" t="s">
        <v>346</v>
      </c>
      <c r="D42" s="63"/>
      <c r="E42" s="63"/>
      <c r="F42" s="63" t="s">
        <v>36</v>
      </c>
      <c r="G42" s="261" t="s">
        <v>426</v>
      </c>
      <c r="I42" s="75"/>
    </row>
    <row r="43" spans="1:16">
      <c r="A43" s="111">
        <v>1974</v>
      </c>
      <c r="B43" s="80" t="s">
        <v>25</v>
      </c>
      <c r="C43" s="63" t="s">
        <v>339</v>
      </c>
      <c r="D43" s="63" t="s">
        <v>37</v>
      </c>
      <c r="E43" s="241" t="s">
        <v>222</v>
      </c>
      <c r="F43" s="63" t="s">
        <v>25</v>
      </c>
      <c r="G43" s="261" t="s">
        <v>425</v>
      </c>
    </row>
    <row r="44" spans="1:16">
      <c r="A44" s="111">
        <v>1970</v>
      </c>
      <c r="B44" s="80" t="s">
        <v>156</v>
      </c>
      <c r="C44" s="63" t="s">
        <v>23</v>
      </c>
      <c r="D44" s="239" t="s">
        <v>42</v>
      </c>
      <c r="E44" s="242" t="s">
        <v>217</v>
      </c>
      <c r="F44" s="63" t="s">
        <v>20</v>
      </c>
      <c r="G44" s="261" t="s">
        <v>424</v>
      </c>
    </row>
    <row r="45" spans="1:16">
      <c r="A45" s="111">
        <v>1966</v>
      </c>
      <c r="B45" s="80" t="s">
        <v>33</v>
      </c>
      <c r="C45" s="63" t="s">
        <v>339</v>
      </c>
      <c r="D45" s="239" t="s">
        <v>33</v>
      </c>
      <c r="E45" s="240" t="s">
        <v>219</v>
      </c>
      <c r="F45" s="63" t="s">
        <v>33</v>
      </c>
      <c r="G45" s="261" t="s">
        <v>423</v>
      </c>
    </row>
    <row r="46" spans="1:16">
      <c r="A46" s="111">
        <v>1962</v>
      </c>
      <c r="B46" s="80" t="s">
        <v>66</v>
      </c>
      <c r="C46" s="63" t="s">
        <v>22</v>
      </c>
      <c r="D46" s="239" t="s">
        <v>54</v>
      </c>
      <c r="E46" s="242" t="s">
        <v>224</v>
      </c>
      <c r="F46" s="63" t="s">
        <v>20</v>
      </c>
      <c r="G46" s="262" t="s">
        <v>422</v>
      </c>
      <c r="I46" s="75"/>
    </row>
    <row r="47" spans="1:16">
      <c r="A47" s="111">
        <v>1958</v>
      </c>
      <c r="B47" s="80" t="s">
        <v>35</v>
      </c>
      <c r="C47" s="63" t="s">
        <v>23</v>
      </c>
      <c r="D47" s="239" t="s">
        <v>35</v>
      </c>
      <c r="E47" s="242" t="s">
        <v>225</v>
      </c>
      <c r="F47" s="63" t="s">
        <v>20</v>
      </c>
      <c r="G47" s="261" t="s">
        <v>421</v>
      </c>
    </row>
    <row r="48" spans="1:16">
      <c r="A48" s="111">
        <v>1954</v>
      </c>
      <c r="B48" s="80" t="s">
        <v>49</v>
      </c>
      <c r="C48" s="63" t="s">
        <v>339</v>
      </c>
      <c r="D48" s="63" t="s">
        <v>145</v>
      </c>
      <c r="E48" s="241" t="s">
        <v>221</v>
      </c>
      <c r="F48" s="63" t="s">
        <v>25</v>
      </c>
      <c r="G48" s="261" t="s">
        <v>420</v>
      </c>
    </row>
    <row r="49" spans="1:9">
      <c r="A49" s="111">
        <v>1950</v>
      </c>
      <c r="B49" s="80" t="s">
        <v>20</v>
      </c>
      <c r="C49" s="63"/>
      <c r="F49" s="63" t="s">
        <v>72</v>
      </c>
      <c r="G49" s="261" t="s">
        <v>419</v>
      </c>
      <c r="I49" s="75"/>
    </row>
    <row r="50" spans="1:9">
      <c r="A50" s="111">
        <v>1938</v>
      </c>
      <c r="B50" s="80" t="s">
        <v>48</v>
      </c>
      <c r="C50" s="63" t="s">
        <v>345</v>
      </c>
      <c r="D50" s="63"/>
      <c r="E50" s="63"/>
      <c r="F50" s="63" t="s">
        <v>42</v>
      </c>
      <c r="G50" s="261" t="s">
        <v>418</v>
      </c>
    </row>
    <row r="51" spans="1:9">
      <c r="A51" s="111">
        <v>1934</v>
      </c>
      <c r="B51" s="80" t="s">
        <v>42</v>
      </c>
      <c r="C51" s="63" t="s">
        <v>23</v>
      </c>
      <c r="D51" s="239" t="s">
        <v>164</v>
      </c>
      <c r="E51" s="240" t="s">
        <v>225</v>
      </c>
      <c r="F51" s="63" t="s">
        <v>42</v>
      </c>
      <c r="G51" s="261" t="s">
        <v>417</v>
      </c>
    </row>
    <row r="52" spans="1:9">
      <c r="A52" s="111">
        <v>1930</v>
      </c>
      <c r="B52" s="80" t="s">
        <v>72</v>
      </c>
      <c r="C52" s="63"/>
      <c r="F52" s="63" t="s">
        <v>72</v>
      </c>
      <c r="G52" s="261" t="s">
        <v>416</v>
      </c>
    </row>
    <row r="53" spans="1:9">
      <c r="I53" s="75"/>
    </row>
    <row r="54" spans="1:9">
      <c r="F54" s="156" t="s">
        <v>354</v>
      </c>
    </row>
    <row r="55" spans="1:9">
      <c r="I55" s="75"/>
    </row>
    <row r="59" spans="1:9">
      <c r="I59" s="75"/>
    </row>
    <row r="62" spans="1:9">
      <c r="I62" s="75"/>
    </row>
    <row r="66" spans="9:9">
      <c r="I66" s="75"/>
    </row>
    <row r="69" spans="9:9">
      <c r="I69" s="75"/>
    </row>
    <row r="73" spans="9:9">
      <c r="I73" s="75"/>
    </row>
    <row r="75" spans="9:9">
      <c r="I75" s="75"/>
    </row>
    <row r="79" spans="9:9">
      <c r="I79" s="75"/>
    </row>
    <row r="81" spans="9:9">
      <c r="I81" s="75"/>
    </row>
    <row r="86" spans="9:9">
      <c r="I86" s="75"/>
    </row>
    <row r="88" spans="9:9">
      <c r="I88" s="75"/>
    </row>
    <row r="95" spans="9:9">
      <c r="I95" s="75"/>
    </row>
    <row r="99" spans="9:9">
      <c r="I99" s="75"/>
    </row>
    <row r="101" spans="9:9">
      <c r="I101" s="75"/>
    </row>
    <row r="106" spans="9:9">
      <c r="I106" s="75"/>
    </row>
    <row r="108" spans="9:9">
      <c r="I108" s="75"/>
    </row>
    <row r="115" spans="9:9">
      <c r="I115" s="75"/>
    </row>
  </sheetData>
  <phoneticPr fontId="2" type="noConversion"/>
  <conditionalFormatting sqref="R26:R29">
    <cfRule type="expression" dxfId="100" priority="1" stopIfTrue="1">
      <formula>SEARCH(O$1,R26)=1</formula>
    </cfRule>
  </conditionalFormatting>
  <conditionalFormatting sqref="R3:R25">
    <cfRule type="expression" dxfId="99" priority="2" stopIfTrue="1">
      <formula>SEARCH(O$1,R3)=1</formula>
    </cfRule>
  </conditionalFormatting>
  <conditionalFormatting sqref="X3:X17">
    <cfRule type="expression" dxfId="98" priority="3" stopIfTrue="1">
      <formula>X3=$O$1</formula>
    </cfRule>
  </conditionalFormatting>
  <conditionalFormatting sqref="D3:D4">
    <cfRule type="expression" dxfId="97" priority="4" stopIfTrue="1">
      <formula>ISNUMBER(FIND($O$1,D3))</formula>
    </cfRule>
  </conditionalFormatting>
  <conditionalFormatting sqref="C3:C24 D5:D24 F24:G24 F3:F23">
    <cfRule type="expression" dxfId="96" priority="5" stopIfTrue="1">
      <formula>ISNUMBER(FIND($O$1,C3))</formula>
    </cfRule>
  </conditionalFormatting>
  <conditionalFormatting sqref="J3:J29 G3:G23">
    <cfRule type="expression" dxfId="95" priority="6" stopIfTrue="1">
      <formula>G3=$O$1</formula>
    </cfRule>
  </conditionalFormatting>
  <pageMargins left="0.38" right="0.2" top="0.984251969" bottom="0.984251969" header="0.4921259845" footer="0.4921259845"/>
  <pageSetup paperSize="9" scale="9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08"/>
  <sheetViews>
    <sheetView showOutlineSymbols="0" zoomScale="120" workbookViewId="0">
      <pane xSplit="4" ySplit="3" topLeftCell="T4" activePane="bottomRight" state="frozen"/>
      <selection pane="topRight" activeCell="D1" sqref="D1"/>
      <selection pane="bottomLeft" activeCell="A3" sqref="A3"/>
      <selection pane="bottomRight" activeCell="AE3" sqref="AE3"/>
    </sheetView>
  </sheetViews>
  <sheetFormatPr baseColWidth="10" defaultColWidth="12.5703125" defaultRowHeight="14.25" outlineLevelCol="1"/>
  <cols>
    <col min="1" max="1" width="3.42578125" style="113" customWidth="1"/>
    <col min="2" max="2" width="16.28515625" style="92" customWidth="1"/>
    <col min="3" max="3" width="3.85546875" style="92" customWidth="1" outlineLevel="1"/>
    <col min="4" max="4" width="3.42578125" style="116" customWidth="1"/>
    <col min="5" max="27" width="5.5703125" style="113" customWidth="1"/>
    <col min="28" max="28" width="10.42578125" style="91" customWidth="1"/>
    <col min="29" max="29" width="16" style="91" customWidth="1"/>
    <col min="30" max="30" width="4.28515625" style="91" customWidth="1"/>
    <col min="31" max="31" width="15.28515625" style="91" customWidth="1"/>
    <col min="32" max="32" width="2.5703125" style="91" customWidth="1"/>
    <col min="33" max="33" width="11.28515625" style="91" customWidth="1"/>
    <col min="34" max="34" width="3.5703125" style="91" customWidth="1"/>
    <col min="35" max="35" width="17.28515625" style="91" customWidth="1"/>
    <col min="36" max="36" width="4" style="91" hidden="1" customWidth="1" outlineLevel="1"/>
    <col min="37" max="37" width="12.5703125" style="91" customWidth="1" collapsed="1"/>
    <col min="38" max="16384" width="12.5703125" style="91"/>
  </cols>
  <sheetData>
    <row r="1" spans="1:36" ht="15.75">
      <c r="B1" s="159" t="str">
        <f>IF(SUBTOTAL(3,B4:B100)-B3=0,"","gefiltert: "&amp;SUBTOTAL(3,B4:B100))</f>
        <v/>
      </c>
      <c r="C1" s="127"/>
      <c r="D1" s="127"/>
      <c r="E1" s="215">
        <v>1930</v>
      </c>
      <c r="F1" s="215">
        <v>1934</v>
      </c>
      <c r="G1" s="215">
        <v>1938</v>
      </c>
      <c r="H1" s="215">
        <v>1950</v>
      </c>
      <c r="I1" s="215">
        <v>1954</v>
      </c>
      <c r="J1" s="215">
        <v>1958</v>
      </c>
      <c r="K1" s="215">
        <v>1962</v>
      </c>
      <c r="L1" s="215">
        <v>1966</v>
      </c>
      <c r="M1" s="215">
        <v>1970</v>
      </c>
      <c r="N1" s="215">
        <v>1974</v>
      </c>
      <c r="O1" s="215">
        <v>1978</v>
      </c>
      <c r="P1" s="215">
        <v>1982</v>
      </c>
      <c r="Q1" s="215">
        <v>1986</v>
      </c>
      <c r="R1" s="215">
        <v>1990</v>
      </c>
      <c r="S1" s="215">
        <v>1994</v>
      </c>
      <c r="T1" s="215">
        <v>1998</v>
      </c>
      <c r="U1" s="215">
        <v>2002</v>
      </c>
      <c r="V1" s="215">
        <v>2006</v>
      </c>
      <c r="W1" s="215">
        <v>2010</v>
      </c>
      <c r="X1" s="215">
        <v>2014</v>
      </c>
      <c r="Y1" s="215">
        <v>2018</v>
      </c>
      <c r="Z1" s="215">
        <v>2022</v>
      </c>
      <c r="AC1" s="120" t="str">
        <f>IF(AE3="","Jahreszahl in AE2 eingeben",INDEX('alle WM'!B:B,MATCH(AE3,'alle WM'!A:A,0)))</f>
        <v>Japan/Südkorea</v>
      </c>
      <c r="AD1" s="119"/>
    </row>
    <row r="2" spans="1:36" ht="9.75" customHeight="1">
      <c r="B2" s="159"/>
      <c r="C2" s="127"/>
      <c r="D2" s="127"/>
      <c r="E2" s="260" t="s">
        <v>405</v>
      </c>
      <c r="F2" s="260" t="s">
        <v>42</v>
      </c>
      <c r="G2" s="260" t="s">
        <v>406</v>
      </c>
      <c r="H2" s="260" t="s">
        <v>413</v>
      </c>
      <c r="I2" s="260" t="s">
        <v>49</v>
      </c>
      <c r="J2" s="260" t="s">
        <v>407</v>
      </c>
      <c r="K2" s="260" t="s">
        <v>66</v>
      </c>
      <c r="L2" s="260" t="s">
        <v>33</v>
      </c>
      <c r="M2" s="260" t="s">
        <v>156</v>
      </c>
      <c r="N2" s="260" t="s">
        <v>408</v>
      </c>
      <c r="O2" s="260" t="s">
        <v>409</v>
      </c>
      <c r="P2" s="260" t="s">
        <v>51</v>
      </c>
      <c r="Q2" s="260" t="s">
        <v>156</v>
      </c>
      <c r="R2" s="260" t="s">
        <v>42</v>
      </c>
      <c r="S2" s="260" t="s">
        <v>44</v>
      </c>
      <c r="T2" s="260" t="s">
        <v>406</v>
      </c>
      <c r="U2" s="260" t="s">
        <v>410</v>
      </c>
      <c r="V2" s="260" t="s">
        <v>408</v>
      </c>
      <c r="W2" s="260" t="s">
        <v>411</v>
      </c>
      <c r="X2" s="260" t="s">
        <v>413</v>
      </c>
      <c r="Y2" s="260" t="s">
        <v>412</v>
      </c>
      <c r="Z2" s="260" t="s">
        <v>318</v>
      </c>
      <c r="AC2" s="120"/>
      <c r="AD2" s="119"/>
    </row>
    <row r="3" spans="1:36" s="118" customFormat="1" ht="21.75" customHeight="1">
      <c r="A3" s="195"/>
      <c r="B3" s="195">
        <f>COUNTA(B4:B100)</f>
        <v>77</v>
      </c>
      <c r="C3" s="195"/>
      <c r="D3" s="199"/>
      <c r="E3" s="195">
        <v>13</v>
      </c>
      <c r="F3" s="195">
        <v>16</v>
      </c>
      <c r="G3" s="195">
        <v>15</v>
      </c>
      <c r="H3" s="195">
        <v>13</v>
      </c>
      <c r="I3" s="195">
        <v>16</v>
      </c>
      <c r="J3" s="195">
        <v>16</v>
      </c>
      <c r="K3" s="195">
        <v>16</v>
      </c>
      <c r="L3" s="195">
        <v>16</v>
      </c>
      <c r="M3" s="195">
        <v>16</v>
      </c>
      <c r="N3" s="195">
        <v>16</v>
      </c>
      <c r="O3" s="195">
        <v>16</v>
      </c>
      <c r="P3" s="195">
        <v>24</v>
      </c>
      <c r="Q3" s="195">
        <v>24</v>
      </c>
      <c r="R3" s="195">
        <v>24</v>
      </c>
      <c r="S3" s="195">
        <v>24</v>
      </c>
      <c r="T3" s="195">
        <v>32</v>
      </c>
      <c r="U3" s="195">
        <v>32</v>
      </c>
      <c r="V3" s="195">
        <v>32</v>
      </c>
      <c r="W3" s="195">
        <f>COUNTA(W4:W85)</f>
        <v>32</v>
      </c>
      <c r="X3" s="195">
        <f>COUNTA(X4:X85)</f>
        <v>32</v>
      </c>
      <c r="Y3" s="195">
        <f>COUNTA(Y4:Y85)</f>
        <v>0</v>
      </c>
      <c r="Z3" s="195">
        <f>COUNTA(Z4:Z85)</f>
        <v>0</v>
      </c>
      <c r="AA3" s="195"/>
      <c r="AC3" s="120" t="str">
        <f>IF(AE3="","",INDEX(3:3,MATCH(AE3,1:1,0))&amp;" Teams")</f>
        <v>32 Teams</v>
      </c>
      <c r="AD3" s="121"/>
      <c r="AE3" s="189">
        <v>2002</v>
      </c>
      <c r="AH3" s="122" t="str">
        <f>"Teilnahmen ("&amp;COUNT(AH4:AH100)&amp;" Länder)"</f>
        <v>Teilnahmen (77 Länder)</v>
      </c>
      <c r="AI3" s="122"/>
    </row>
    <row r="4" spans="1:36" ht="15">
      <c r="A4" s="126">
        <f t="shared" ref="A4:A35" si="0">SUM(COUNTIF(E4:Z4,"&lt;5"))</f>
        <v>0</v>
      </c>
      <c r="B4" s="92" t="s">
        <v>173</v>
      </c>
      <c r="C4" s="92" t="s">
        <v>55</v>
      </c>
      <c r="D4" s="116">
        <f t="shared" ref="D4:D35" si="1">COUNTA(E4:Y4)</f>
        <v>2</v>
      </c>
      <c r="E4" s="196"/>
      <c r="F4" s="196" t="s">
        <v>169</v>
      </c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 t="s">
        <v>169</v>
      </c>
      <c r="S4" s="196"/>
      <c r="T4" s="196"/>
      <c r="U4" s="196"/>
      <c r="V4" s="196"/>
      <c r="W4" s="196"/>
      <c r="X4" s="196"/>
      <c r="Y4" s="196"/>
      <c r="Z4" s="196"/>
      <c r="AA4" s="115"/>
      <c r="AB4" s="206">
        <f t="array" aca="1" ref="AB4" ca="1">IF(AC4="","",SUBSTITUTE(SUBSTITUTE(SUBSTITUTE(INDEX(INDIRECT(ADDRESS(4,MATCH(AE$3,A$1:AB$1,0))&amp;":"&amp;ADDRESS(99,MATCH(AE$3,A$1:AB$1,0))),MATCH(AC4,B$4:B$99,0)),"v",0),"x",0),"f",0)*1)</f>
        <v>0</v>
      </c>
      <c r="AC4" s="91" t="str">
        <f t="array" aca="1" ref="AC4" ca="1">IF(AE$3="","",IF(ROW(A1)&gt;INDEX($3:$3,MATCH($AE$3,$1:$1,0)),"",INDEX(B:B,SMALL(IF(INDIRECT(ADDRESS(4,MATCH(AE$3,A$1:AB$1,0))&amp;":"&amp;ADDRESS(99,MATCH(AE$3,A$1:AB$1,0)))&lt;&gt;"",ROW($4:$99)),ROW(A1)))))</f>
        <v>Argentinien</v>
      </c>
      <c r="AD4" s="206">
        <f t="array" aca="1" ref="AD4" ca="1">IF(AE4="","",SUBSTITUTE(SUBSTITUTE(SUBSTITUTE(INDEX(INDIRECT(ADDRESS(4,MATCH(AE$3,A$1:AB$1,0))&amp;":"&amp;ADDRESS(99,MATCH(AE$3,A$1:AB$1,0))),MATCH(AE4,B$4:B$99,0)),"v",0),"x",0),"f",0)*1)</f>
        <v>0</v>
      </c>
      <c r="AE4" s="91" t="str">
        <f t="array" aca="1" ref="AE4" ca="1">IF(AE$3="","",IF(ROW(A17)&gt;INDEX($3:$3,MATCH($AE$3,$1:$1,0)),"",INDEX(B:B,SMALL(IF(INDIRECT(ADDRESS(4,MATCH(AE$3,A$1:AB$1,0))&amp;":"&amp;ADDRESS(99,MATCH(AE$3,A$1:AB$1,0)))&lt;&gt;"",ROW($4:$99)),ROW(A17)))))</f>
        <v>Nigeria</v>
      </c>
      <c r="AF4" s="117"/>
      <c r="AH4" s="91">
        <f>IF(ROW(A1)&gt;B$3,"",LARGE(D:D,ROW(A1)))</f>
        <v>20</v>
      </c>
      <c r="AI4" s="91" t="str">
        <f t="array" ref="AI4">IF(AH4="","",INDEX(B:B,SMALL(IF(D$1:D$100=AH4,ROW($1:$100)),COUNTIF(AH$4:AH4,AH4))))</f>
        <v>Brasilien</v>
      </c>
      <c r="AJ4" s="91" t="str">
        <f t="array" ref="AJ4">IF(AH4="","",INDEX(C:C,SMALL(IF(D$1:D$100=AH4,ROW($1:$100)),COUNTIF(AH$4:AH4,AH4))))</f>
        <v>SA</v>
      </c>
    </row>
    <row r="5" spans="1:36" ht="15">
      <c r="A5" s="126">
        <f t="shared" si="0"/>
        <v>0</v>
      </c>
      <c r="B5" s="92" t="s">
        <v>69</v>
      </c>
      <c r="C5" s="92" t="s">
        <v>55</v>
      </c>
      <c r="D5" s="116">
        <f t="shared" si="1"/>
        <v>4</v>
      </c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 t="s">
        <v>169</v>
      </c>
      <c r="Q5" s="196" t="s">
        <v>169</v>
      </c>
      <c r="R5" s="196"/>
      <c r="S5" s="196"/>
      <c r="T5" s="196"/>
      <c r="U5" s="196"/>
      <c r="V5" s="196"/>
      <c r="W5" s="196" t="s">
        <v>169</v>
      </c>
      <c r="X5" s="196" t="s">
        <v>169</v>
      </c>
      <c r="Y5" s="196"/>
      <c r="Z5" s="196"/>
      <c r="AA5" s="115"/>
      <c r="AB5" s="206">
        <f t="array" aca="1" ref="AB5" ca="1">IF(AC5="","",SUBSTITUTE(SUBSTITUTE(SUBSTITUTE(INDEX(INDIRECT(ADDRESS(4,MATCH(AE$3,A$1:AB$1,0))&amp;":"&amp;ADDRESS(99,MATCH(AE$3,A$1:AB$1,0))),MATCH(AC5,B$4:B$99,0)),"v",0),"x",0),"f",0)*1)</f>
        <v>0</v>
      </c>
      <c r="AC5" s="91" t="str">
        <f t="array" aca="1" ref="AC5" ca="1">IF(AE$3="","",IF(ROW(A2)&gt;INDEX($3:$3,MATCH($AE$3,$1:$1,0)),"",INDEX(B:B,SMALL(IF(INDIRECT(ADDRESS(4,MATCH(AE$3,A$1:AB$1,0))&amp;":"&amp;ADDRESS(99,MATCH(AE$3,A$1:AB$1,0)))&lt;&gt;"",ROW($4:$99)),ROW(A2)))))</f>
        <v>Belgien</v>
      </c>
      <c r="AD5" s="206">
        <f t="array" aca="1" ref="AD5" ca="1">IF(AE5="","",SUBSTITUTE(SUBSTITUTE(SUBSTITUTE(INDEX(INDIRECT(ADDRESS(4,MATCH(AE$3,A$1:AB$1,0))&amp;":"&amp;ADDRESS(99,MATCH(AE$3,A$1:AB$1,0))),MATCH(AE5,B$4:B$99,0)),"v",0),"x",0),"f",0)*1)</f>
        <v>0</v>
      </c>
      <c r="AE5" s="91" t="str">
        <f t="array" aca="1" ref="AE5" ca="1">IF(AE$3="","",IF(ROW(A18)&gt;INDEX($3:$3,MATCH($AE$3,$1:$1,0)),"",INDEX(B:B,SMALL(IF(INDIRECT(ADDRESS(4,MATCH(AE$3,A$1:AB$1,0))&amp;":"&amp;ADDRESS(99,MATCH(AE$3,A$1:AB$1,0)))&lt;&gt;"",ROW($4:$99)),ROW(A18)))))</f>
        <v>Paraguay</v>
      </c>
      <c r="AF5" s="117"/>
      <c r="AH5" s="91">
        <f t="shared" ref="AH5:AH68" si="2">IF(ROW(A2)&gt;B$3,"",LARGE(D:D,ROW(A2)))</f>
        <v>18</v>
      </c>
      <c r="AI5" s="91" t="str">
        <f t="array" ref="AI5">IF(AH5="","",INDEX(B:B,SMALL(IF(D$1:D$100=AH5,ROW($1:$100)),COUNTIF(AH$4:AH5,AH5))))</f>
        <v>Deutschland</v>
      </c>
      <c r="AJ5" s="91" t="str">
        <f t="array" ref="AJ5">IF(AH5="","",INDEX(C:C,SMALL(IF(D$1:D$100=AH5,ROW($1:$100)),COUNTIF(AH$4:AH5,AH5))))</f>
        <v>E</v>
      </c>
    </row>
    <row r="6" spans="1:36" ht="15">
      <c r="A6" s="126">
        <f t="shared" si="0"/>
        <v>0</v>
      </c>
      <c r="B6" s="92" t="s">
        <v>40</v>
      </c>
      <c r="C6" s="92" t="s">
        <v>55</v>
      </c>
      <c r="D6" s="116">
        <f t="shared" si="1"/>
        <v>1</v>
      </c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 t="s">
        <v>169</v>
      </c>
      <c r="W6" s="196"/>
      <c r="X6" s="196"/>
      <c r="Y6" s="196"/>
      <c r="Z6" s="196"/>
      <c r="AA6" s="115"/>
      <c r="AB6" s="206">
        <f t="array" aca="1" ref="AB6" ca="1">IF(AC6="","",SUBSTITUTE(SUBSTITUTE(SUBSTITUTE(INDEX(INDIRECT(ADDRESS(4,MATCH(AE$3,A$1:AB$1,0))&amp;":"&amp;ADDRESS(99,MATCH(AE$3,A$1:AB$1,0))),MATCH(AC6,B$4:B$99,0)),"v",0),"x",0),"f",0)*1)</f>
        <v>1</v>
      </c>
      <c r="AC6" s="91" t="str">
        <f t="array" aca="1" ref="AC6" ca="1">IF(AE$3="","",IF(ROW(A3)&gt;INDEX($3:$3,MATCH($AE$3,$1:$1,0)),"",INDEX(B:B,SMALL(IF(INDIRECT(ADDRESS(4,MATCH(AE$3,A$1:AB$1,0))&amp;":"&amp;ADDRESS(99,MATCH(AE$3,A$1:AB$1,0)))&lt;&gt;"",ROW($4:$99)),ROW(A3)))))</f>
        <v>Brasilien</v>
      </c>
      <c r="AD6" s="206">
        <f t="array" aca="1" ref="AD6" ca="1">IF(AE6="","",SUBSTITUTE(SUBSTITUTE(SUBSTITUTE(INDEX(INDIRECT(ADDRESS(4,MATCH(AE$3,A$1:AB$1,0))&amp;":"&amp;ADDRESS(99,MATCH(AE$3,A$1:AB$1,0))),MATCH(AE6,B$4:B$99,0)),"v",0),"x",0),"f",0)*1)</f>
        <v>0</v>
      </c>
      <c r="AE6" s="91" t="str">
        <f t="array" aca="1" ref="AE6" ca="1">IF(AE$3="","",IF(ROW(A19)&gt;INDEX($3:$3,MATCH($AE$3,$1:$1,0)),"",INDEX(B:B,SMALL(IF(INDIRECT(ADDRESS(4,MATCH(AE$3,A$1:AB$1,0))&amp;":"&amp;ADDRESS(99,MATCH(AE$3,A$1:AB$1,0)))&lt;&gt;"",ROW($4:$99)),ROW(A19)))))</f>
        <v>Polen</v>
      </c>
      <c r="AF6" s="117"/>
      <c r="AH6" s="91">
        <f t="shared" si="2"/>
        <v>18</v>
      </c>
      <c r="AI6" s="91" t="str">
        <f t="array" ref="AI6">IF(AH6="","",INDEX(B:B,SMALL(IF(D$1:D$100=AH6,ROW($1:$100)),COUNTIF(AH$4:AH6,AH6))))</f>
        <v>Italien</v>
      </c>
      <c r="AJ6" s="91" t="str">
        <f t="array" ref="AJ6">IF(AH6="","",INDEX(C:C,SMALL(IF(D$1:D$100=AH6,ROW($1:$100)),COUNTIF(AH$4:AH6,AH6))))</f>
        <v>E</v>
      </c>
    </row>
    <row r="7" spans="1:36" ht="15">
      <c r="A7" s="126">
        <f t="shared" si="0"/>
        <v>4</v>
      </c>
      <c r="B7" s="92" t="s">
        <v>36</v>
      </c>
      <c r="C7" s="92" t="s">
        <v>278</v>
      </c>
      <c r="D7" s="116">
        <f t="shared" si="1"/>
        <v>16</v>
      </c>
      <c r="E7" s="197">
        <v>2</v>
      </c>
      <c r="F7" s="196" t="s">
        <v>169</v>
      </c>
      <c r="G7" s="196"/>
      <c r="H7" s="196"/>
      <c r="I7" s="196"/>
      <c r="J7" s="196" t="s">
        <v>169</v>
      </c>
      <c r="K7" s="196" t="s">
        <v>169</v>
      </c>
      <c r="L7" s="196" t="s">
        <v>340</v>
      </c>
      <c r="M7" s="196"/>
      <c r="N7" s="196" t="s">
        <v>343</v>
      </c>
      <c r="O7" s="198">
        <v>1</v>
      </c>
      <c r="P7" s="196" t="s">
        <v>169</v>
      </c>
      <c r="Q7" s="198">
        <v>1</v>
      </c>
      <c r="R7" s="197">
        <v>2</v>
      </c>
      <c r="S7" s="196" t="s">
        <v>169</v>
      </c>
      <c r="T7" s="196" t="s">
        <v>340</v>
      </c>
      <c r="U7" s="196" t="s">
        <v>169</v>
      </c>
      <c r="V7" s="196" t="s">
        <v>340</v>
      </c>
      <c r="W7" s="196" t="s">
        <v>340</v>
      </c>
      <c r="X7" s="196" t="s">
        <v>169</v>
      </c>
      <c r="Y7" s="197"/>
      <c r="Z7" s="197"/>
      <c r="AA7" s="115"/>
      <c r="AB7" s="206">
        <f t="array" aca="1" ref="AB7" ca="1">IF(AC7="","",SUBSTITUTE(SUBSTITUTE(SUBSTITUTE(INDEX(INDIRECT(ADDRESS(4,MATCH(AE$3,A$1:AB$1,0))&amp;":"&amp;ADDRESS(99,MATCH(AE$3,A$1:AB$1,0))),MATCH(AC7,B$4:B$99,0)),"v",0),"x",0),"f",0)*1)</f>
        <v>0</v>
      </c>
      <c r="AC7" s="91" t="str">
        <f t="array" aca="1" ref="AC7" ca="1">IF(AE$3="","",IF(ROW(A4)&gt;INDEX($3:$3,MATCH($AE$3,$1:$1,0)),"",INDEX(B:B,SMALL(IF(INDIRECT(ADDRESS(4,MATCH(AE$3,A$1:AB$1,0))&amp;":"&amp;ADDRESS(99,MATCH(AE$3,A$1:AB$1,0)))&lt;&gt;"",ROW($4:$99)),ROW(A4)))))</f>
        <v>China</v>
      </c>
      <c r="AD7" s="206">
        <f t="array" aca="1" ref="AD7" ca="1">IF(AE7="","",SUBSTITUTE(SUBSTITUTE(SUBSTITUTE(INDEX(INDIRECT(ADDRESS(4,MATCH(AE$3,A$1:AB$1,0))&amp;":"&amp;ADDRESS(99,MATCH(AE$3,A$1:AB$1,0))),MATCH(AE7,B$4:B$99,0)),"v",0),"x",0),"f",0)*1)</f>
        <v>0</v>
      </c>
      <c r="AE7" s="91" t="str">
        <f t="array" aca="1" ref="AE7" ca="1">IF(AE$3="","",IF(ROW(A20)&gt;INDEX($3:$3,MATCH($AE$3,$1:$1,0)),"",INDEX(B:B,SMALL(IF(INDIRECT(ADDRESS(4,MATCH(AE$3,A$1:AB$1,0))&amp;":"&amp;ADDRESS(99,MATCH(AE$3,A$1:AB$1,0)))&lt;&gt;"",ROW($4:$99)),ROW(A20)))))</f>
        <v>Portugal</v>
      </c>
      <c r="AF7" s="117"/>
      <c r="AH7" s="91">
        <f t="shared" si="2"/>
        <v>16</v>
      </c>
      <c r="AI7" s="91" t="str">
        <f t="array" ref="AI7">IF(AH7="","",INDEX(B:B,SMALL(IF(D$1:D$100=AH7,ROW($1:$100)),COUNTIF(AH$4:AH7,AH7))))</f>
        <v>Argentinien</v>
      </c>
      <c r="AJ7" s="91" t="str">
        <f t="array" ref="AJ7">IF(AH7="","",INDEX(C:C,SMALL(IF(D$1:D$100=AH7,ROW($1:$100)),COUNTIF(AH$4:AH7,AH7))))</f>
        <v>SA</v>
      </c>
    </row>
    <row r="8" spans="1:36" ht="15">
      <c r="A8" s="126">
        <f t="shared" si="0"/>
        <v>0</v>
      </c>
      <c r="B8" s="92" t="s">
        <v>46</v>
      </c>
      <c r="C8" s="92" t="s">
        <v>352</v>
      </c>
      <c r="D8" s="116">
        <f t="shared" si="1"/>
        <v>4</v>
      </c>
      <c r="E8" s="196"/>
      <c r="F8" s="196"/>
      <c r="G8" s="196"/>
      <c r="H8" s="196"/>
      <c r="I8" s="196"/>
      <c r="J8" s="196"/>
      <c r="K8" s="196"/>
      <c r="L8" s="196"/>
      <c r="M8" s="196"/>
      <c r="N8" s="196" t="s">
        <v>169</v>
      </c>
      <c r="O8" s="196"/>
      <c r="P8" s="196"/>
      <c r="Q8" s="196"/>
      <c r="R8" s="196"/>
      <c r="S8" s="196"/>
      <c r="T8" s="196"/>
      <c r="U8" s="196"/>
      <c r="V8" s="196" t="s">
        <v>169</v>
      </c>
      <c r="W8" s="196" t="s">
        <v>169</v>
      </c>
      <c r="X8" s="196" t="s">
        <v>169</v>
      </c>
      <c r="Y8" s="196"/>
      <c r="Z8" s="196"/>
      <c r="AA8" s="115"/>
      <c r="AB8" s="206">
        <f t="array" aca="1" ref="AB8" ca="1">IF(AC8="","",SUBSTITUTE(SUBSTITUTE(SUBSTITUTE(INDEX(INDIRECT(ADDRESS(4,MATCH(AE$3,A$1:AB$1,0))&amp;":"&amp;ADDRESS(99,MATCH(AE$3,A$1:AB$1,0))),MATCH(AC8,B$4:B$99,0)),"v",0),"x",0),"f",0)*1)</f>
        <v>0</v>
      </c>
      <c r="AC8" s="91" t="str">
        <f t="array" aca="1" ref="AC8" ca="1">IF(AE$3="","",IF(ROW(A5)&gt;INDEX($3:$3,MATCH($AE$3,$1:$1,0)),"",INDEX(B:B,SMALL(IF(INDIRECT(ADDRESS(4,MATCH(AE$3,A$1:AB$1,0))&amp;":"&amp;ADDRESS(99,MATCH(AE$3,A$1:AB$1,0)))&lt;&gt;"",ROW($4:$99)),ROW(A5)))))</f>
        <v>Costa Rica</v>
      </c>
      <c r="AD8" s="206">
        <f t="array" aca="1" ref="AD8" ca="1">IF(AE8="","",SUBSTITUTE(SUBSTITUTE(SUBSTITUTE(INDEX(INDIRECT(ADDRESS(4,MATCH(AE$3,A$1:AB$1,0))&amp;":"&amp;ADDRESS(99,MATCH(AE$3,A$1:AB$1,0))),MATCH(AE8,B$4:B$99,0)),"v",0),"x",0),"f",0)*1)</f>
        <v>0</v>
      </c>
      <c r="AE8" s="91" t="str">
        <f t="array" aca="1" ref="AE8" ca="1">IF(AE$3="","",IF(ROW(A21)&gt;INDEX($3:$3,MATCH($AE$3,$1:$1,0)),"",INDEX(B:B,SMALL(IF(INDIRECT(ADDRESS(4,MATCH(AE$3,A$1:AB$1,0))&amp;":"&amp;ADDRESS(99,MATCH(AE$3,A$1:AB$1,0)))&lt;&gt;"",ROW($4:$99)),ROW(A21)))))</f>
        <v>Russland</v>
      </c>
      <c r="AF8" s="117"/>
      <c r="AH8" s="91">
        <f t="shared" si="2"/>
        <v>15</v>
      </c>
      <c r="AI8" s="91" t="str">
        <f t="array" ref="AI8">IF(AH8="","",INDEX(B:B,SMALL(IF(D$1:D$100=AH8,ROW($1:$100)),COUNTIF(AH$4:AH8,AH8))))</f>
        <v>Mexico</v>
      </c>
      <c r="AJ8" s="91" t="str">
        <f t="array" ref="AJ8">IF(AH8="","",INDEX(C:C,SMALL(IF(D$1:D$100=AH8,ROW($1:$100)),COUNTIF(AH$4:AH8,AH8))))</f>
        <v>NA</v>
      </c>
    </row>
    <row r="9" spans="1:36" ht="15">
      <c r="A9" s="126">
        <f t="shared" si="0"/>
        <v>1</v>
      </c>
      <c r="B9" s="92" t="s">
        <v>157</v>
      </c>
      <c r="C9" s="92" t="s">
        <v>136</v>
      </c>
      <c r="D9" s="116">
        <f t="shared" si="1"/>
        <v>12</v>
      </c>
      <c r="E9" s="196" t="s">
        <v>169</v>
      </c>
      <c r="F9" s="196" t="s">
        <v>169</v>
      </c>
      <c r="G9" s="196" t="s">
        <v>169</v>
      </c>
      <c r="H9" s="196"/>
      <c r="I9" s="196" t="s">
        <v>169</v>
      </c>
      <c r="J9" s="196"/>
      <c r="K9" s="196"/>
      <c r="L9" s="196"/>
      <c r="M9" s="196" t="s">
        <v>169</v>
      </c>
      <c r="N9" s="196"/>
      <c r="O9" s="196"/>
      <c r="P9" s="196" t="s">
        <v>169</v>
      </c>
      <c r="Q9" s="197">
        <v>4</v>
      </c>
      <c r="R9" s="196" t="s">
        <v>169</v>
      </c>
      <c r="S9" s="196" t="s">
        <v>169</v>
      </c>
      <c r="T9" s="196" t="s">
        <v>169</v>
      </c>
      <c r="U9" s="196" t="s">
        <v>169</v>
      </c>
      <c r="V9" s="196"/>
      <c r="W9" s="196"/>
      <c r="X9" s="196" t="s">
        <v>169</v>
      </c>
      <c r="Y9" s="196"/>
      <c r="Z9" s="196"/>
      <c r="AA9" s="115"/>
      <c r="AB9" s="206">
        <f t="array" aca="1" ref="AB9" ca="1">IF(AC9="","",SUBSTITUTE(SUBSTITUTE(SUBSTITUTE(INDEX(INDIRECT(ADDRESS(4,MATCH(AE$3,A$1:AB$1,0))&amp;":"&amp;ADDRESS(99,MATCH(AE$3,A$1:AB$1,0))),MATCH(AC9,B$4:B$99,0)),"v",0),"x",0),"f",0)*1)</f>
        <v>0</v>
      </c>
      <c r="AC9" s="91" t="str">
        <f t="array" aca="1" ref="AC9" ca="1">IF(AE$3="","",IF(ROW(A6)&gt;INDEX($3:$3,MATCH($AE$3,$1:$1,0)),"",INDEX(B:B,SMALL(IF(INDIRECT(ADDRESS(4,MATCH(AE$3,A$1:AB$1,0))&amp;":"&amp;ADDRESS(99,MATCH(AE$3,A$1:AB$1,0)))&lt;&gt;"",ROW($4:$99)),ROW(A6)))))</f>
        <v>Dänemark</v>
      </c>
      <c r="AD9" s="206">
        <f t="array" aca="1" ref="AD9" ca="1">IF(AE9="","",SUBSTITUTE(SUBSTITUTE(SUBSTITUTE(INDEX(INDIRECT(ADDRESS(4,MATCH(AE$3,A$1:AB$1,0))&amp;":"&amp;ADDRESS(99,MATCH(AE$3,A$1:AB$1,0))),MATCH(AE9,B$4:B$99,0)),"v",0),"x",0),"f",0)*1)</f>
        <v>0</v>
      </c>
      <c r="AE9" s="91" t="str">
        <f t="array" aca="1" ref="AE9" ca="1">IF(AE$3="","",IF(ROW(A22)&gt;INDEX($3:$3,MATCH($AE$3,$1:$1,0)),"",INDEX(B:B,SMALL(IF(INDIRECT(ADDRESS(4,MATCH(AE$3,A$1:AB$1,0))&amp;":"&amp;ADDRESS(99,MATCH(AE$3,A$1:AB$1,0)))&lt;&gt;"",ROW($4:$99)),ROW(A22)))))</f>
        <v>Saudiarabien</v>
      </c>
      <c r="AF9" s="117"/>
      <c r="AH9" s="91">
        <f t="shared" si="2"/>
        <v>14</v>
      </c>
      <c r="AI9" s="91" t="str">
        <f t="array" ref="AI9">IF(AH9="","",INDEX(B:B,SMALL(IF(D$1:D$100=AH9,ROW($1:$100)),COUNTIF(AH$4:AH9,AH9))))</f>
        <v>England</v>
      </c>
      <c r="AJ9" s="91" t="str">
        <f t="array" ref="AJ9">IF(AH9="","",INDEX(C:C,SMALL(IF(D$1:D$100=AH9,ROW($1:$100)),COUNTIF(AH$4:AH9,AH9))))</f>
        <v>E</v>
      </c>
    </row>
    <row r="10" spans="1:36" ht="15">
      <c r="A10" s="126">
        <f t="shared" si="0"/>
        <v>0</v>
      </c>
      <c r="B10" s="92" t="s">
        <v>170</v>
      </c>
      <c r="C10" s="92" t="s">
        <v>278</v>
      </c>
      <c r="D10" s="116">
        <f t="shared" si="1"/>
        <v>3</v>
      </c>
      <c r="E10" s="196" t="s">
        <v>169</v>
      </c>
      <c r="F10" s="196"/>
      <c r="G10" s="196"/>
      <c r="H10" s="196" t="s">
        <v>169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 t="s">
        <v>169</v>
      </c>
      <c r="T10" s="196"/>
      <c r="U10" s="196"/>
      <c r="V10" s="196"/>
      <c r="W10" s="196"/>
      <c r="X10" s="196"/>
      <c r="Y10" s="196"/>
      <c r="Z10" s="196"/>
      <c r="AA10" s="115"/>
      <c r="AB10" s="206">
        <f t="array" aca="1" ref="AB10" ca="1">IF(AC10="","",SUBSTITUTE(SUBSTITUTE(SUBSTITUTE(INDEX(INDIRECT(ADDRESS(4,MATCH(AE$3,A$1:AB$1,0))&amp;":"&amp;ADDRESS(99,MATCH(AE$3,A$1:AB$1,0))),MATCH(AC10,B$4:B$99,0)),"v",0),"x",0),"f",0)*1)</f>
        <v>2</v>
      </c>
      <c r="AC10" s="91" t="str">
        <f t="array" aca="1" ref="AC10" ca="1">IF(AE$3="","",IF(ROW(A7)&gt;INDEX($3:$3,MATCH($AE$3,$1:$1,0)),"",INDEX(B:B,SMALL(IF(INDIRECT(ADDRESS(4,MATCH(AE$3,A$1:AB$1,0))&amp;":"&amp;ADDRESS(99,MATCH(AE$3,A$1:AB$1,0)))&lt;&gt;"",ROW($4:$99)),ROW(A7)))))</f>
        <v>Deutschland</v>
      </c>
      <c r="AD10" s="206">
        <f t="array" aca="1" ref="AD10" ca="1">IF(AE10="","",SUBSTITUTE(SUBSTITUTE(SUBSTITUTE(INDEX(INDIRECT(ADDRESS(4,MATCH(AE$3,A$1:AB$1,0))&amp;":"&amp;ADDRESS(99,MATCH(AE$3,A$1:AB$1,0))),MATCH(AE10,B$4:B$99,0)),"v",0),"x",0),"f",0)*1)</f>
        <v>0</v>
      </c>
      <c r="AE10" s="91" t="str">
        <f t="array" aca="1" ref="AE10" ca="1">IF(AE$3="","",IF(ROW(A23)&gt;INDEX($3:$3,MATCH($AE$3,$1:$1,0)),"",INDEX(B:B,SMALL(IF(INDIRECT(ADDRESS(4,MATCH(AE$3,A$1:AB$1,0))&amp;":"&amp;ADDRESS(99,MATCH(AE$3,A$1:AB$1,0)))&lt;&gt;"",ROW($4:$99)),ROW(A23)))))</f>
        <v>Schweden</v>
      </c>
      <c r="AF10" s="117"/>
      <c r="AH10" s="91">
        <f t="shared" si="2"/>
        <v>14</v>
      </c>
      <c r="AI10" s="91" t="str">
        <f t="array" ref="AI10">IF(AH10="","",INDEX(B:B,SMALL(IF(D$1:D$100=AH10,ROW($1:$100)),COUNTIF(AH$4:AH10,AH10))))</f>
        <v>Frankreich</v>
      </c>
      <c r="AJ10" s="91" t="str">
        <f t="array" ref="AJ10">IF(AH10="","",INDEX(C:C,SMALL(IF(D$1:D$100=AH10,ROW($1:$100)),COUNTIF(AH$4:AH10,AH10))))</f>
        <v>E</v>
      </c>
    </row>
    <row r="11" spans="1:36" ht="15">
      <c r="A11" s="126">
        <f t="shared" si="0"/>
        <v>0</v>
      </c>
      <c r="B11" s="132" t="s">
        <v>437</v>
      </c>
      <c r="C11" s="132" t="s">
        <v>136</v>
      </c>
      <c r="D11" s="116">
        <f t="shared" si="1"/>
        <v>1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271" t="s">
        <v>169</v>
      </c>
      <c r="Y11" s="190"/>
      <c r="Z11" s="131"/>
      <c r="AA11" s="115"/>
      <c r="AB11" s="206">
        <f t="array" aca="1" ref="AB11" ca="1">IF(AC11="","",SUBSTITUTE(SUBSTITUTE(SUBSTITUTE(INDEX(INDIRECT(ADDRESS(4,MATCH(AE$3,A$1:AB$1,0))&amp;":"&amp;ADDRESS(99,MATCH(AE$3,A$1:AB$1,0))),MATCH(AC11,B$4:B$99,0)),"v",0),"x",0),"f",0)*1)</f>
        <v>0</v>
      </c>
      <c r="AC11" s="91" t="str">
        <f t="array" aca="1" ref="AC11" ca="1">IF(AE$3="","",IF(ROW(A8)&gt;INDEX($3:$3,MATCH($AE$3,$1:$1,0)),"",INDEX(B:B,SMALL(IF(INDIRECT(ADDRESS(4,MATCH(AE$3,A$1:AB$1,0))&amp;":"&amp;ADDRESS(99,MATCH(AE$3,A$1:AB$1,0)))&lt;&gt;"",ROW($4:$99)),ROW(A8)))))</f>
        <v>Ecuador</v>
      </c>
      <c r="AD11" s="206">
        <f t="array" aca="1" ref="AD11" ca="1">IF(AE11="","",SUBSTITUTE(SUBSTITUTE(SUBSTITUTE(INDEX(INDIRECT(ADDRESS(4,MATCH(AE$3,A$1:AB$1,0))&amp;":"&amp;ADDRESS(99,MATCH(AE$3,A$1:AB$1,0))),MATCH(AE11,B$4:B$99,0)),"v",0),"x",0),"f",0)*1)</f>
        <v>0</v>
      </c>
      <c r="AE11" s="91" t="str">
        <f t="array" aca="1" ref="AE11" ca="1">IF(AE$3="","",IF(ROW(A24)&gt;INDEX($3:$3,MATCH($AE$3,$1:$1,0)),"",INDEX(B:B,SMALL(IF(INDIRECT(ADDRESS(4,MATCH(AE$3,A$1:AB$1,0))&amp;":"&amp;ADDRESS(99,MATCH(AE$3,A$1:AB$1,0)))&lt;&gt;"",ROW($4:$99)),ROW(A24)))))</f>
        <v>Senegal</v>
      </c>
      <c r="AF11" s="117"/>
      <c r="AH11" s="91">
        <f t="shared" si="2"/>
        <v>13</v>
      </c>
      <c r="AI11" s="91" t="str">
        <f t="array" ref="AI11">IF(AH11="","",INDEX(B:B,SMALL(IF(D$1:D$100=AH11,ROW($1:$100)),COUNTIF(AH$4:AH11,AH11))))</f>
        <v>Spanien</v>
      </c>
      <c r="AJ11" s="91" t="str">
        <f t="array" ref="AJ11">IF(AH11="","",INDEX(C:C,SMALL(IF(D$1:D$100=AH11,ROW($1:$100)),COUNTIF(AH$4:AH11,AH11))))</f>
        <v>E</v>
      </c>
    </row>
    <row r="12" spans="1:36" ht="15">
      <c r="A12" s="126">
        <f t="shared" si="0"/>
        <v>10</v>
      </c>
      <c r="B12" s="92" t="s">
        <v>20</v>
      </c>
      <c r="C12" s="92" t="s">
        <v>278</v>
      </c>
      <c r="D12" s="116">
        <f t="shared" si="1"/>
        <v>20</v>
      </c>
      <c r="E12" s="196" t="s">
        <v>169</v>
      </c>
      <c r="F12" s="196" t="s">
        <v>169</v>
      </c>
      <c r="G12" s="197">
        <v>3</v>
      </c>
      <c r="H12" s="197">
        <v>2</v>
      </c>
      <c r="I12" s="196" t="s">
        <v>340</v>
      </c>
      <c r="J12" s="198">
        <v>1</v>
      </c>
      <c r="K12" s="198">
        <v>1</v>
      </c>
      <c r="L12" s="196" t="s">
        <v>169</v>
      </c>
      <c r="M12" s="198">
        <v>1</v>
      </c>
      <c r="N12" s="197">
        <v>4</v>
      </c>
      <c r="O12" s="197">
        <v>3</v>
      </c>
      <c r="P12" s="196" t="s">
        <v>169</v>
      </c>
      <c r="Q12" s="196" t="s">
        <v>340</v>
      </c>
      <c r="R12" s="196" t="s">
        <v>169</v>
      </c>
      <c r="S12" s="198">
        <v>1</v>
      </c>
      <c r="T12" s="197">
        <v>2</v>
      </c>
      <c r="U12" s="198">
        <v>1</v>
      </c>
      <c r="V12" s="196" t="s">
        <v>340</v>
      </c>
      <c r="W12" s="196" t="s">
        <v>340</v>
      </c>
      <c r="X12" s="196" t="s">
        <v>169</v>
      </c>
      <c r="Y12" s="196"/>
      <c r="Z12" s="196"/>
      <c r="AA12" s="115"/>
      <c r="AB12" s="206">
        <f t="array" aca="1" ref="AB12" ca="1">IF(AC12="","",SUBSTITUTE(SUBSTITUTE(SUBSTITUTE(INDEX(INDIRECT(ADDRESS(4,MATCH(AE$3,A$1:AB$1,0))&amp;":"&amp;ADDRESS(99,MATCH(AE$3,A$1:AB$1,0))),MATCH(AC12,B$4:B$99,0)),"v",0),"x",0),"f",0)*1)</f>
        <v>0</v>
      </c>
      <c r="AC12" s="91" t="str">
        <f t="array" aca="1" ref="AC12" ca="1">IF(AE$3="","",IF(ROW(A9)&gt;INDEX($3:$3,MATCH($AE$3,$1:$1,0)),"",INDEX(B:B,SMALL(IF(INDIRECT(ADDRESS(4,MATCH(AE$3,A$1:AB$1,0))&amp;":"&amp;ADDRESS(99,MATCH(AE$3,A$1:AB$1,0)))&lt;&gt;"",ROW($4:$99)),ROW(A9)))))</f>
        <v>England</v>
      </c>
      <c r="AD12" s="206">
        <f t="array" aca="1" ref="AD12" ca="1">IF(AE12="","",SUBSTITUTE(SUBSTITUTE(SUBSTITUTE(INDEX(INDIRECT(ADDRESS(4,MATCH(AE$3,A$1:AB$1,0))&amp;":"&amp;ADDRESS(99,MATCH(AE$3,A$1:AB$1,0))),MATCH(AE12,B$4:B$99,0)),"v",0),"x",0),"f",0)*1)</f>
        <v>0</v>
      </c>
      <c r="AE12" s="91" t="str">
        <f t="array" aca="1" ref="AE12" ca="1">IF(AE$3="","",IF(ROW(A25)&gt;INDEX($3:$3,MATCH($AE$3,$1:$1,0)),"",INDEX(B:B,SMALL(IF(INDIRECT(ADDRESS(4,MATCH(AE$3,A$1:AB$1,0))&amp;":"&amp;ADDRESS(99,MATCH(AE$3,A$1:AB$1,0)))&lt;&gt;"",ROW($4:$99)),ROW(A25)))))</f>
        <v>Slowenien</v>
      </c>
      <c r="AF12" s="117"/>
      <c r="AH12" s="91">
        <f t="shared" si="2"/>
        <v>13</v>
      </c>
      <c r="AI12" s="91" t="str">
        <f t="array" ref="AI12">IF(AH12="","",INDEX(B:B,SMALL(IF(D$1:D$100=AH12,ROW($1:$100)),COUNTIF(AH$4:AH12,AH12))))</f>
        <v>Uruguay</v>
      </c>
      <c r="AJ12" s="91" t="str">
        <f t="array" ref="AJ12">IF(AH12="","",INDEX(C:C,SMALL(IF(D$1:D$100=AH12,ROW($1:$100)),COUNTIF(AH$4:AH12,AH12))))</f>
        <v>SA</v>
      </c>
    </row>
    <row r="13" spans="1:36" ht="15">
      <c r="A13" s="126">
        <f t="shared" si="0"/>
        <v>1</v>
      </c>
      <c r="B13" s="92" t="s">
        <v>153</v>
      </c>
      <c r="C13" s="92" t="s">
        <v>136</v>
      </c>
      <c r="D13" s="116">
        <f t="shared" si="1"/>
        <v>7</v>
      </c>
      <c r="E13" s="196"/>
      <c r="F13" s="196"/>
      <c r="G13" s="196"/>
      <c r="H13" s="196"/>
      <c r="I13" s="196"/>
      <c r="J13" s="196"/>
      <c r="K13" s="196" t="s">
        <v>169</v>
      </c>
      <c r="L13" s="196" t="s">
        <v>169</v>
      </c>
      <c r="M13" s="196" t="s">
        <v>169</v>
      </c>
      <c r="N13" s="196" t="s">
        <v>169</v>
      </c>
      <c r="O13" s="196"/>
      <c r="P13" s="196"/>
      <c r="Q13" s="196" t="s">
        <v>169</v>
      </c>
      <c r="R13" s="196"/>
      <c r="S13" s="197">
        <v>4</v>
      </c>
      <c r="T13" s="196" t="s">
        <v>169</v>
      </c>
      <c r="U13" s="196"/>
      <c r="V13" s="196"/>
      <c r="W13" s="196"/>
      <c r="X13" s="196"/>
      <c r="Y13" s="196"/>
      <c r="Z13" s="196"/>
      <c r="AA13" s="115"/>
      <c r="AB13" s="206">
        <f t="array" aca="1" ref="AB13" ca="1">IF(AC13="","",SUBSTITUTE(SUBSTITUTE(SUBSTITUTE(INDEX(INDIRECT(ADDRESS(4,MATCH(AE$3,A$1:AB$1,0))&amp;":"&amp;ADDRESS(99,MATCH(AE$3,A$1:AB$1,0))),MATCH(AC13,B$4:B$99,0)),"v",0),"x",0),"f",0)*1)</f>
        <v>0</v>
      </c>
      <c r="AC13" s="91" t="str">
        <f t="array" aca="1" ref="AC13" ca="1">IF(AE$3="","",IF(ROW(A10)&gt;INDEX($3:$3,MATCH($AE$3,$1:$1,0)),"",INDEX(B:B,SMALL(IF(INDIRECT(ADDRESS(4,MATCH(AE$3,A$1:AB$1,0))&amp;":"&amp;ADDRESS(99,MATCH(AE$3,A$1:AB$1,0)))&lt;&gt;"",ROW($4:$99)),ROW(A10)))))</f>
        <v>Frankreich</v>
      </c>
      <c r="AD13" s="206">
        <f t="array" aca="1" ref="AD13" ca="1">IF(AE13="","",SUBSTITUTE(SUBSTITUTE(SUBSTITUTE(INDEX(INDIRECT(ADDRESS(4,MATCH(AE$3,A$1:AB$1,0))&amp;":"&amp;ADDRESS(99,MATCH(AE$3,A$1:AB$1,0))),MATCH(AE13,B$4:B$99,0)),"v",0),"x",0),"f",0)*1)</f>
        <v>0</v>
      </c>
      <c r="AE13" s="91" t="str">
        <f t="array" aca="1" ref="AE13" ca="1">IF(AE$3="","",IF(ROW(A26)&gt;INDEX($3:$3,MATCH($AE$3,$1:$1,0)),"",INDEX(B:B,SMALL(IF(INDIRECT(ADDRESS(4,MATCH(AE$3,A$1:AB$1,0))&amp;":"&amp;ADDRESS(99,MATCH(AE$3,A$1:AB$1,0)))&lt;&gt;"",ROW($4:$99)),ROW(A26)))))</f>
        <v>Spanien</v>
      </c>
      <c r="AF13" s="117"/>
      <c r="AH13" s="91">
        <f t="shared" si="2"/>
        <v>12</v>
      </c>
      <c r="AI13" s="91" t="str">
        <f t="array" ref="AI13">IF(AH13="","",INDEX(B:B,SMALL(IF(D$1:D$100=AH13,ROW($1:$100)),COUNTIF(AH$4:AH13,AH13))))</f>
        <v>Belgien</v>
      </c>
      <c r="AJ13" s="91" t="str">
        <f t="array" ref="AJ13">IF(AH13="","",INDEX(C:C,SMALL(IF(D$1:D$100=AH13,ROW($1:$100)),COUNTIF(AH$4:AH13,AH13))))</f>
        <v>E</v>
      </c>
    </row>
    <row r="14" spans="1:36" ht="15">
      <c r="A14" s="126">
        <f t="shared" si="0"/>
        <v>1</v>
      </c>
      <c r="B14" s="92" t="s">
        <v>66</v>
      </c>
      <c r="C14" s="92" t="s">
        <v>278</v>
      </c>
      <c r="D14" s="116">
        <f t="shared" si="1"/>
        <v>9</v>
      </c>
      <c r="E14" s="196" t="s">
        <v>169</v>
      </c>
      <c r="F14" s="196"/>
      <c r="G14" s="196"/>
      <c r="H14" s="196" t="s">
        <v>169</v>
      </c>
      <c r="I14" s="196"/>
      <c r="J14" s="196"/>
      <c r="K14" s="197">
        <v>3</v>
      </c>
      <c r="L14" s="196" t="s">
        <v>169</v>
      </c>
      <c r="M14" s="196"/>
      <c r="N14" s="196" t="s">
        <v>169</v>
      </c>
      <c r="O14" s="196"/>
      <c r="P14" s="196" t="s">
        <v>169</v>
      </c>
      <c r="Q14" s="196"/>
      <c r="R14" s="196"/>
      <c r="S14" s="196"/>
      <c r="T14" s="196" t="s">
        <v>169</v>
      </c>
      <c r="U14" s="196"/>
      <c r="V14" s="196"/>
      <c r="W14" s="196" t="s">
        <v>169</v>
      </c>
      <c r="X14" s="196" t="s">
        <v>169</v>
      </c>
      <c r="Y14" s="196"/>
      <c r="Z14" s="196"/>
      <c r="AA14" s="115"/>
      <c r="AB14" s="206">
        <f t="array" aca="1" ref="AB14" ca="1">IF(AC14="","",SUBSTITUTE(SUBSTITUTE(SUBSTITUTE(INDEX(INDIRECT(ADDRESS(4,MATCH(AE$3,A$1:AB$1,0))&amp;":"&amp;ADDRESS(99,MATCH(AE$3,A$1:AB$1,0))),MATCH(AC14,B$4:B$99,0)),"v",0),"x",0),"f",0)*1)</f>
        <v>0</v>
      </c>
      <c r="AC14" s="91" t="str">
        <f t="array" aca="1" ref="AC14" ca="1">IF(AE$3="","",IF(ROW(A11)&gt;INDEX($3:$3,MATCH($AE$3,$1:$1,0)),"",INDEX(B:B,SMALL(IF(INDIRECT(ADDRESS(4,MATCH(AE$3,A$1:AB$1,0))&amp;":"&amp;ADDRESS(99,MATCH(AE$3,A$1:AB$1,0)))&lt;&gt;"",ROW($4:$99)),ROW(A11)))))</f>
        <v>Irland</v>
      </c>
      <c r="AD14" s="206">
        <f t="array" aca="1" ref="AD14" ca="1">IF(AE14="","",SUBSTITUTE(SUBSTITUTE(SUBSTITUTE(INDEX(INDIRECT(ADDRESS(4,MATCH(AE$3,A$1:AB$1,0))&amp;":"&amp;ADDRESS(99,MATCH(AE$3,A$1:AB$1,0))),MATCH(AE14,B$4:B$99,0)),"v",0),"x",0),"f",0)*1)</f>
        <v>0</v>
      </c>
      <c r="AE14" s="91" t="str">
        <f t="array" aca="1" ref="AE14" ca="1">IF(AE$3="","",IF(ROW(A27)&gt;INDEX($3:$3,MATCH($AE$3,$1:$1,0)),"",INDEX(B:B,SMALL(IF(INDIRECT(ADDRESS(4,MATCH(AE$3,A$1:AB$1,0))&amp;":"&amp;ADDRESS(99,MATCH(AE$3,A$1:AB$1,0)))&lt;&gt;"",ROW($4:$99)),ROW(A27)))))</f>
        <v>Südafrika</v>
      </c>
      <c r="AF14" s="117"/>
      <c r="AH14" s="91">
        <f t="shared" si="2"/>
        <v>11</v>
      </c>
      <c r="AI14" s="91" t="str">
        <f t="array" ref="AI14">IF(AH14="","",INDEX(B:B,SMALL(IF(D$1:D$100=AH14,ROW($1:$100)),COUNTIF(AH$4:AH14,AH14))))</f>
        <v>Schweden</v>
      </c>
      <c r="AJ14" s="91" t="str">
        <f t="array" ref="AJ14">IF(AH14="","",INDEX(C:C,SMALL(IF(D$1:D$100=AH14,ROW($1:$100)),COUNTIF(AH$4:AH14,AH14))))</f>
        <v>E</v>
      </c>
    </row>
    <row r="15" spans="1:36" ht="15">
      <c r="A15" s="126">
        <f t="shared" si="0"/>
        <v>0</v>
      </c>
      <c r="B15" s="92" t="s">
        <v>190</v>
      </c>
      <c r="C15" s="92" t="s">
        <v>352</v>
      </c>
      <c r="D15" s="116">
        <f t="shared" si="1"/>
        <v>1</v>
      </c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 t="s">
        <v>169</v>
      </c>
      <c r="V15" s="196"/>
      <c r="W15" s="196"/>
      <c r="X15" s="196"/>
      <c r="Y15" s="196"/>
      <c r="Z15" s="196"/>
      <c r="AA15" s="115"/>
      <c r="AB15" s="206">
        <f t="array" aca="1" ref="AB15" ca="1">IF(AC15="","",SUBSTITUTE(SUBSTITUTE(SUBSTITUTE(INDEX(INDIRECT(ADDRESS(4,MATCH(AE$3,A$1:AB$1,0))&amp;":"&amp;ADDRESS(99,MATCH(AE$3,A$1:AB$1,0))),MATCH(AC15,B$4:B$99,0)),"v",0),"x",0),"f",0)*1)</f>
        <v>0</v>
      </c>
      <c r="AC15" s="91" t="str">
        <f t="array" aca="1" ref="AC15" ca="1">IF(AE$3="","",IF(ROW(A12)&gt;INDEX($3:$3,MATCH($AE$3,$1:$1,0)),"",INDEX(B:B,SMALL(IF(INDIRECT(ADDRESS(4,MATCH(AE$3,A$1:AB$1,0))&amp;":"&amp;ADDRESS(99,MATCH(AE$3,A$1:AB$1,0)))&lt;&gt;"",ROW($4:$99)),ROW(A12)))))</f>
        <v>Italien</v>
      </c>
      <c r="AD15" s="206">
        <f t="array" aca="1" ref="AD15" ca="1">IF(AE15="","",SUBSTITUTE(SUBSTITUTE(SUBSTITUTE(INDEX(INDIRECT(ADDRESS(4,MATCH(AE$3,A$1:AB$1,0))&amp;":"&amp;ADDRESS(99,MATCH(AE$3,A$1:AB$1,0))),MATCH(AE15,B$4:B$99,0)),"v",0),"x",0),"f",0)*1)</f>
        <v>4</v>
      </c>
      <c r="AE15" s="91" t="str">
        <f t="array" aca="1" ref="AE15" ca="1">IF(AE$3="","",IF(ROW(A28)&gt;INDEX($3:$3,MATCH($AE$3,$1:$1,0)),"",INDEX(B:B,SMALL(IF(INDIRECT(ADDRESS(4,MATCH(AE$3,A$1:AB$1,0))&amp;":"&amp;ADDRESS(99,MATCH(AE$3,A$1:AB$1,0)))&lt;&gt;"",ROW($4:$99)),ROW(A28)))))</f>
        <v>Südkorea</v>
      </c>
      <c r="AH15" s="91">
        <f t="shared" si="2"/>
        <v>11</v>
      </c>
      <c r="AI15" s="91" t="str">
        <f t="array" ref="AI15">IF(AH15="","",INDEX(B:B,SMALL(IF(D$1:D$100=AH15,ROW($1:$100)),COUNTIF(AH$4:AH15,AH15))))</f>
        <v>Schweiz</v>
      </c>
      <c r="AJ15" s="91" t="str">
        <f t="array" ref="AJ15">IF(AH15="","",INDEX(C:C,SMALL(IF(D$1:D$100=AH15,ROW($1:$100)),COUNTIF(AH$4:AH15,AH15))))</f>
        <v>E</v>
      </c>
    </row>
    <row r="16" spans="1:36" ht="15">
      <c r="A16" s="126">
        <f t="shared" si="0"/>
        <v>0</v>
      </c>
      <c r="B16" s="92" t="s">
        <v>30</v>
      </c>
      <c r="C16" s="92" t="s">
        <v>279</v>
      </c>
      <c r="D16" s="116">
        <f t="shared" si="1"/>
        <v>4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 t="s">
        <v>169</v>
      </c>
      <c r="S16" s="196"/>
      <c r="T16" s="196"/>
      <c r="U16" s="196" t="s">
        <v>169</v>
      </c>
      <c r="V16" s="196" t="s">
        <v>169</v>
      </c>
      <c r="W16" s="196"/>
      <c r="X16" s="196" t="s">
        <v>169</v>
      </c>
      <c r="Y16" s="196"/>
      <c r="Z16" s="196"/>
      <c r="AA16" s="115"/>
      <c r="AB16" s="206">
        <f t="array" aca="1" ref="AB16" ca="1">IF(AC16="","",SUBSTITUTE(SUBSTITUTE(SUBSTITUTE(INDEX(INDIRECT(ADDRESS(4,MATCH(AE$3,A$1:AB$1,0))&amp;":"&amp;ADDRESS(99,MATCH(AE$3,A$1:AB$1,0))),MATCH(AC16,B$4:B$99,0)),"v",0),"x",0),"f",0)*1)</f>
        <v>0</v>
      </c>
      <c r="AC16" s="91" t="str">
        <f t="array" aca="1" ref="AC16" ca="1">IF(AE$3="","",IF(ROW(A13)&gt;INDEX($3:$3,MATCH($AE$3,$1:$1,0)),"",INDEX(B:B,SMALL(IF(INDIRECT(ADDRESS(4,MATCH(AE$3,A$1:AB$1,0))&amp;":"&amp;ADDRESS(99,MATCH(AE$3,A$1:AB$1,0)))&lt;&gt;"",ROW($4:$99)),ROW(A13)))))</f>
        <v>Japan</v>
      </c>
      <c r="AD16" s="206">
        <f t="array" aca="1" ref="AD16" ca="1">IF(AE16="","",SUBSTITUTE(SUBSTITUTE(SUBSTITUTE(INDEX(INDIRECT(ADDRESS(4,MATCH(AE$3,A$1:AB$1,0))&amp;":"&amp;ADDRESS(99,MATCH(AE$3,A$1:AB$1,0))),MATCH(AE16,B$4:B$99,0)),"v",0),"x",0),"f",0)*1)</f>
        <v>0</v>
      </c>
      <c r="AE16" s="91" t="str">
        <f t="array" aca="1" ref="AE16" ca="1">IF(AE$3="","",IF(ROW(A29)&gt;INDEX($3:$3,MATCH($AE$3,$1:$1,0)),"",INDEX(B:B,SMALL(IF(INDIRECT(ADDRESS(4,MATCH(AE$3,A$1:AB$1,0))&amp;":"&amp;ADDRESS(99,MATCH(AE$3,A$1:AB$1,0)))&lt;&gt;"",ROW($4:$99)),ROW(A29)))))</f>
        <v>Tunesien</v>
      </c>
      <c r="AF16" s="117"/>
      <c r="AH16" s="91">
        <f t="shared" si="2"/>
        <v>11</v>
      </c>
      <c r="AI16" s="91" t="str">
        <f t="array" ref="AI16">IF(AH16="","",INDEX(B:B,SMALL(IF(D$1:D$100=AH16,ROW($1:$100)),COUNTIF(AH$4:AH16,AH16))))</f>
        <v>Serbien</v>
      </c>
      <c r="AJ16" s="91" t="str">
        <f t="array" ref="AJ16">IF(AH16="","",INDEX(C:C,SMALL(IF(D$1:D$100=AH16,ROW($1:$100)),COUNTIF(AH$4:AH16,AH16))))</f>
        <v>E</v>
      </c>
    </row>
    <row r="17" spans="1:36" ht="15">
      <c r="A17" s="126">
        <f t="shared" si="0"/>
        <v>0</v>
      </c>
      <c r="B17" s="92" t="s">
        <v>64</v>
      </c>
      <c r="C17" s="92" t="s">
        <v>136</v>
      </c>
      <c r="D17" s="116">
        <f t="shared" si="1"/>
        <v>4</v>
      </c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 t="s">
        <v>169</v>
      </c>
      <c r="R17" s="196"/>
      <c r="S17" s="196"/>
      <c r="T17" s="196" t="s">
        <v>340</v>
      </c>
      <c r="U17" s="196" t="s">
        <v>169</v>
      </c>
      <c r="V17" s="196"/>
      <c r="W17" s="196" t="s">
        <v>169</v>
      </c>
      <c r="X17" s="196"/>
      <c r="Y17" s="196"/>
      <c r="Z17" s="196"/>
      <c r="AA17" s="115"/>
      <c r="AB17" s="206">
        <f t="array" aca="1" ref="AB17" ca="1">IF(AC17="","",SUBSTITUTE(SUBSTITUTE(SUBSTITUTE(INDEX(INDIRECT(ADDRESS(4,MATCH(AE$3,A$1:AB$1,0))&amp;":"&amp;ADDRESS(99,MATCH(AE$3,A$1:AB$1,0))),MATCH(AC17,B$4:B$99,0)),"v",0),"x",0),"f",0)*1)</f>
        <v>0</v>
      </c>
      <c r="AC17" s="91" t="str">
        <f t="array" aca="1" ref="AC17" ca="1">IF(AE$3="","",IF(ROW(A14)&gt;INDEX($3:$3,MATCH($AE$3,$1:$1,0)),"",INDEX(B:B,SMALL(IF(INDIRECT(ADDRESS(4,MATCH(AE$3,A$1:AB$1,0))&amp;":"&amp;ADDRESS(99,MATCH(AE$3,A$1:AB$1,0)))&lt;&gt;"",ROW($4:$99)),ROW(A14)))))</f>
        <v>Kamerun</v>
      </c>
      <c r="AD17" s="206">
        <f t="array" aca="1" ref="AD17" ca="1">IF(AE17="","",SUBSTITUTE(SUBSTITUTE(SUBSTITUTE(INDEX(INDIRECT(ADDRESS(4,MATCH(AE$3,A$1:AB$1,0))&amp;":"&amp;ADDRESS(99,MATCH(AE$3,A$1:AB$1,0))),MATCH(AE17,B$4:B$99,0)),"v",0),"x",0),"f",0)*1)</f>
        <v>3</v>
      </c>
      <c r="AE17" s="91" t="str">
        <f t="array" aca="1" ref="AE17" ca="1">IF(AE$3="","",IF(ROW(A30)&gt;INDEX($3:$3,MATCH($AE$3,$1:$1,0)),"",INDEX(B:B,SMALL(IF(INDIRECT(ADDRESS(4,MATCH(AE$3,A$1:AB$1,0))&amp;":"&amp;ADDRESS(99,MATCH(AE$3,A$1:AB$1,0)))&lt;&gt;"",ROW($4:$99)),ROW(A30)))))</f>
        <v>Türkei</v>
      </c>
      <c r="AF17" s="117"/>
      <c r="AH17" s="91">
        <f t="shared" si="2"/>
        <v>10</v>
      </c>
      <c r="AI17" s="91" t="str">
        <f t="array" ref="AI17">IF(AH17="","",INDEX(B:B,SMALL(IF(D$1:D$100=AH17,ROW($1:$100)),COUNTIF(AH$4:AH17,AH17))))</f>
        <v>Russland</v>
      </c>
      <c r="AJ17" s="91" t="str">
        <f t="array" ref="AJ17">IF(AH17="","",INDEX(C:C,SMALL(IF(D$1:D$100=AH17,ROW($1:$100)),COUNTIF(AH$4:AH17,AH17))))</f>
        <v>E</v>
      </c>
    </row>
    <row r="18" spans="1:36" ht="15">
      <c r="A18" s="126">
        <f t="shared" si="0"/>
        <v>0</v>
      </c>
      <c r="B18" s="125" t="s">
        <v>182</v>
      </c>
      <c r="C18" s="92" t="s">
        <v>136</v>
      </c>
      <c r="D18" s="116">
        <f t="shared" si="1"/>
        <v>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 t="s">
        <v>343</v>
      </c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15"/>
      <c r="AB18" s="206">
        <f t="array" aca="1" ref="AB18" ca="1">IF(AC18="","",SUBSTITUTE(SUBSTITUTE(SUBSTITUTE(INDEX(INDIRECT(ADDRESS(4,MATCH(AE$3,A$1:AB$1,0))&amp;":"&amp;ADDRESS(99,MATCH(AE$3,A$1:AB$1,0))),MATCH(AC18,B$4:B$99,0)),"v",0),"x",0),"f",0)*1)</f>
        <v>0</v>
      </c>
      <c r="AC18" s="91" t="str">
        <f t="array" aca="1" ref="AC18" ca="1">IF(AE$3="","",IF(ROW(A15)&gt;INDEX($3:$3,MATCH($AE$3,$1:$1,0)),"",INDEX(B:B,SMALL(IF(INDIRECT(ADDRESS(4,MATCH(AE$3,A$1:AB$1,0))&amp;":"&amp;ADDRESS(99,MATCH(AE$3,A$1:AB$1,0)))&lt;&gt;"",ROW($4:$99)),ROW(A15)))))</f>
        <v>Kroatien</v>
      </c>
      <c r="AD18" s="206">
        <f t="array" aca="1" ref="AD18" ca="1">IF(AE18="","",SUBSTITUTE(SUBSTITUTE(SUBSTITUTE(INDEX(INDIRECT(ADDRESS(4,MATCH(AE$3,A$1:AB$1,0))&amp;":"&amp;ADDRESS(99,MATCH(AE$3,A$1:AB$1,0))),MATCH(AE18,B$4:B$99,0)),"v",0),"x",0),"f",0)*1)</f>
        <v>0</v>
      </c>
      <c r="AE18" s="91" t="str">
        <f t="array" aca="1" ref="AE18" ca="1">IF(AE$3="","",IF(ROW(A31)&gt;INDEX($3:$3,MATCH($AE$3,$1:$1,0)),"",INDEX(B:B,SMALL(IF(INDIRECT(ADDRESS(4,MATCH(AE$3,A$1:AB$1,0))&amp;":"&amp;ADDRESS(99,MATCH(AE$3,A$1:AB$1,0)))&lt;&gt;"",ROW($4:$99)),ROW(A31)))))</f>
        <v>Uruguay</v>
      </c>
      <c r="AF18" s="117"/>
      <c r="AH18" s="91">
        <f t="shared" si="2"/>
        <v>10</v>
      </c>
      <c r="AI18" s="91" t="str">
        <f t="array" ref="AI18">IF(AH18="","",INDEX(B:B,SMALL(IF(D$1:D$100=AH18,ROW($1:$100)),COUNTIF(AH$4:AH18,AH18))))</f>
        <v>USA</v>
      </c>
      <c r="AJ18" s="91" t="str">
        <f t="array" ref="AJ18">IF(AH18="","",INDEX(C:C,SMALL(IF(D$1:D$100=AH18,ROW($1:$100)),COUNTIF(AH$4:AH18,AH18))))</f>
        <v>NA</v>
      </c>
    </row>
    <row r="19" spans="1:36" ht="15">
      <c r="A19" s="126">
        <f t="shared" si="0"/>
        <v>12</v>
      </c>
      <c r="B19" s="269" t="s">
        <v>25</v>
      </c>
      <c r="C19" s="269" t="s">
        <v>136</v>
      </c>
      <c r="D19" s="270">
        <f t="shared" si="1"/>
        <v>18</v>
      </c>
      <c r="E19" s="267"/>
      <c r="F19" s="266">
        <v>3</v>
      </c>
      <c r="G19" s="267" t="s">
        <v>169</v>
      </c>
      <c r="H19" s="267"/>
      <c r="I19" s="268">
        <v>1</v>
      </c>
      <c r="J19" s="266">
        <v>4</v>
      </c>
      <c r="K19" s="267" t="s">
        <v>340</v>
      </c>
      <c r="L19" s="266">
        <v>2</v>
      </c>
      <c r="M19" s="266">
        <v>3</v>
      </c>
      <c r="N19" s="268">
        <v>1</v>
      </c>
      <c r="O19" s="267" t="s">
        <v>343</v>
      </c>
      <c r="P19" s="266">
        <v>2</v>
      </c>
      <c r="Q19" s="266">
        <v>2</v>
      </c>
      <c r="R19" s="268">
        <v>1</v>
      </c>
      <c r="S19" s="267" t="s">
        <v>340</v>
      </c>
      <c r="T19" s="267" t="s">
        <v>340</v>
      </c>
      <c r="U19" s="266">
        <v>2</v>
      </c>
      <c r="V19" s="266">
        <v>3</v>
      </c>
      <c r="W19" s="266">
        <v>3</v>
      </c>
      <c r="X19" s="267" t="s">
        <v>169</v>
      </c>
      <c r="Y19" s="267"/>
      <c r="Z19" s="267"/>
      <c r="AA19" s="115"/>
      <c r="AB19" s="206">
        <f t="array" aca="1" ref="AB19" ca="1">IF(AC19="","",SUBSTITUTE(SUBSTITUTE(SUBSTITUTE(INDEX(INDIRECT(ADDRESS(4,MATCH(AE$3,A$1:AB$1,0))&amp;":"&amp;ADDRESS(99,MATCH(AE$3,A$1:AB$1,0))),MATCH(AC19,B$4:B$99,0)),"v",0),"x",0),"f",0)*1)</f>
        <v>0</v>
      </c>
      <c r="AC19" s="91" t="str">
        <f t="array" aca="1" ref="AC19" ca="1">IF(AE$3="","",IF(ROW(A16)&gt;INDEX($3:$3,MATCH($AE$3,$1:$1,0)),"",INDEX(B:B,SMALL(IF(INDIRECT(ADDRESS(4,MATCH(AE$3,A$1:AB$1,0))&amp;":"&amp;ADDRESS(99,MATCH(AE$3,A$1:AB$1,0)))&lt;&gt;"",ROW($4:$99)),ROW(A16)))))</f>
        <v>Mexico</v>
      </c>
      <c r="AD19" s="206">
        <f t="array" aca="1" ref="AD19" ca="1">IF(AE19="","",SUBSTITUTE(SUBSTITUTE(SUBSTITUTE(INDEX(INDIRECT(ADDRESS(4,MATCH(AE$3,A$1:AB$1,0))&amp;":"&amp;ADDRESS(99,MATCH(AE$3,A$1:AB$1,0))),MATCH(AE19,B$4:B$99,0)),"v",0),"x",0),"f",0)*1)</f>
        <v>0</v>
      </c>
      <c r="AE19" s="91" t="str">
        <f t="array" aca="1" ref="AE19" ca="1">IF(AE$3="","",IF(ROW(A32)&gt;INDEX($3:$3,MATCH($AE$3,$1:$1,0)),"",INDEX(B:B,SMALL(IF(INDIRECT(ADDRESS(4,MATCH(AE$3,A$1:AB$1,0))&amp;":"&amp;ADDRESS(99,MATCH(AE$3,A$1:AB$1,0)))&lt;&gt;"",ROW($4:$99)),ROW(A32)))))</f>
        <v>USA</v>
      </c>
      <c r="AF19" s="117"/>
      <c r="AH19" s="91">
        <f t="shared" si="2"/>
        <v>9</v>
      </c>
      <c r="AI19" s="91" t="str">
        <f t="array" ref="AI19">IF(AH19="","",INDEX(B:B,SMALL(IF(D$1:D$100=AH19,ROW($1:$100)),COUNTIF(AH$4:AH19,AH19))))</f>
        <v>Chile</v>
      </c>
      <c r="AJ19" s="91" t="str">
        <f t="array" ref="AJ19">IF(AH19="","",INDEX(C:C,SMALL(IF(D$1:D$100=AH19,ROW($1:$100)),COUNTIF(AH$4:AH19,AH19))))</f>
        <v>SA</v>
      </c>
    </row>
    <row r="20" spans="1:36" ht="15">
      <c r="A20" s="126">
        <f t="shared" si="0"/>
        <v>0</v>
      </c>
      <c r="B20" s="92" t="s">
        <v>32</v>
      </c>
      <c r="C20" s="92" t="s">
        <v>279</v>
      </c>
      <c r="D20" s="116">
        <f t="shared" si="1"/>
        <v>3</v>
      </c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 t="s">
        <v>169</v>
      </c>
      <c r="V20" s="196" t="s">
        <v>169</v>
      </c>
      <c r="W20" s="196"/>
      <c r="X20" s="196" t="s">
        <v>169</v>
      </c>
      <c r="Y20" s="196"/>
      <c r="Z20" s="196"/>
      <c r="AA20" s="115"/>
      <c r="AE20" s="264"/>
      <c r="AH20" s="91">
        <f t="shared" si="2"/>
        <v>9</v>
      </c>
      <c r="AI20" s="91" t="str">
        <f t="array" ref="AI20">IF(AH20="","",INDEX(B:B,SMALL(IF(D$1:D$100=AH20,ROW($1:$100)),COUNTIF(AH$4:AH20,AH20))))</f>
        <v>Holland</v>
      </c>
      <c r="AJ20" s="91" t="str">
        <f t="array" ref="AJ20">IF(AH20="","",INDEX(C:C,SMALL(IF(D$1:D$100=AH20,ROW($1:$100)),COUNTIF(AH$4:AH20,AH20))))</f>
        <v>E</v>
      </c>
    </row>
    <row r="21" spans="1:36" ht="15">
      <c r="A21" s="126">
        <f t="shared" si="0"/>
        <v>0</v>
      </c>
      <c r="B21" s="92" t="s">
        <v>322</v>
      </c>
      <c r="C21" s="92" t="s">
        <v>279</v>
      </c>
      <c r="D21" s="116">
        <f t="shared" si="1"/>
        <v>2</v>
      </c>
      <c r="E21" s="196"/>
      <c r="F21" s="196"/>
      <c r="G21" s="196"/>
      <c r="H21" s="196"/>
      <c r="I21" s="196"/>
      <c r="J21" s="196"/>
      <c r="K21" s="196"/>
      <c r="L21" s="196"/>
      <c r="M21" s="196" t="s">
        <v>169</v>
      </c>
      <c r="N21" s="196"/>
      <c r="O21" s="196"/>
      <c r="P21" s="196" t="s">
        <v>169</v>
      </c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15"/>
      <c r="AE21" s="92"/>
      <c r="AH21" s="91">
        <f t="shared" si="2"/>
        <v>9</v>
      </c>
      <c r="AI21" s="91" t="str">
        <f t="array" ref="AI21">IF(AH21="","",INDEX(B:B,SMALL(IF(D$1:D$100=AH21,ROW($1:$100)),COUNTIF(AH$4:AH21,AH21))))</f>
        <v>Südkorea</v>
      </c>
      <c r="AJ21" s="91" t="str">
        <f t="array" ref="AJ21">IF(AH21="","",INDEX(C:C,SMALL(IF(D$1:D$100=AH21,ROW($1:$100)),COUNTIF(AH$4:AH21,AH21))))</f>
        <v>AS</v>
      </c>
    </row>
    <row r="22" spans="1:36" ht="15">
      <c r="A22" s="126">
        <f t="shared" si="0"/>
        <v>0</v>
      </c>
      <c r="B22" s="92" t="s">
        <v>192</v>
      </c>
      <c r="C22" s="92" t="s">
        <v>55</v>
      </c>
      <c r="D22" s="116">
        <f t="shared" si="1"/>
        <v>3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 t="s">
        <v>169</v>
      </c>
      <c r="W22" s="196" t="s">
        <v>169</v>
      </c>
      <c r="X22" s="196" t="s">
        <v>169</v>
      </c>
      <c r="Y22" s="196"/>
      <c r="Z22" s="196"/>
      <c r="AA22" s="115"/>
      <c r="AC22" s="273" t="s">
        <v>341</v>
      </c>
      <c r="AH22" s="91">
        <f t="shared" si="2"/>
        <v>9</v>
      </c>
      <c r="AI22" s="91" t="str">
        <f t="array" ref="AI22">IF(AH22="","",INDEX(B:B,SMALL(IF(D$1:D$100=AH22,ROW($1:$100)),COUNTIF(AH$4:AH22,AH22))))</f>
        <v>Tschechien</v>
      </c>
      <c r="AJ22" s="91" t="str">
        <f t="array" ref="AJ22">IF(AH22="","",INDEX(C:C,SMALL(IF(D$1:D$100=AH22,ROW($1:$100)),COUNTIF(AH$4:AH22,AH22))))</f>
        <v>E</v>
      </c>
    </row>
    <row r="23" spans="1:36" ht="15">
      <c r="A23" s="126">
        <f t="shared" si="0"/>
        <v>2</v>
      </c>
      <c r="B23" s="92" t="s">
        <v>33</v>
      </c>
      <c r="C23" s="92" t="s">
        <v>136</v>
      </c>
      <c r="D23" s="116">
        <f t="shared" si="1"/>
        <v>14</v>
      </c>
      <c r="E23" s="196"/>
      <c r="F23" s="196"/>
      <c r="G23" s="196"/>
      <c r="H23" s="196" t="s">
        <v>169</v>
      </c>
      <c r="I23" s="196" t="s">
        <v>340</v>
      </c>
      <c r="J23" s="196" t="s">
        <v>169</v>
      </c>
      <c r="K23" s="196" t="s">
        <v>340</v>
      </c>
      <c r="L23" s="198">
        <v>1</v>
      </c>
      <c r="M23" s="196" t="s">
        <v>340</v>
      </c>
      <c r="N23" s="196"/>
      <c r="O23" s="196"/>
      <c r="P23" s="196" t="s">
        <v>169</v>
      </c>
      <c r="Q23" s="196" t="s">
        <v>340</v>
      </c>
      <c r="R23" s="197">
        <v>4</v>
      </c>
      <c r="S23" s="196"/>
      <c r="T23" s="196" t="s">
        <v>169</v>
      </c>
      <c r="U23" s="196" t="s">
        <v>340</v>
      </c>
      <c r="V23" s="196" t="s">
        <v>340</v>
      </c>
      <c r="W23" s="196" t="s">
        <v>169</v>
      </c>
      <c r="X23" s="196" t="s">
        <v>169</v>
      </c>
      <c r="Y23" s="196"/>
      <c r="Z23" s="196"/>
      <c r="AA23" s="115"/>
      <c r="AC23" s="273" t="s">
        <v>342</v>
      </c>
      <c r="AH23" s="91">
        <f t="shared" si="2"/>
        <v>9</v>
      </c>
      <c r="AI23" s="91" t="str">
        <f t="array" ref="AI23">IF(AH23="","",INDEX(B:B,SMALL(IF(D$1:D$100=AH23,ROW($1:$100)),COUNTIF(AH$4:AH23,AH23))))</f>
        <v>Ungarn</v>
      </c>
      <c r="AJ23" s="91" t="str">
        <f t="array" ref="AJ23">IF(AH23="","",INDEX(C:C,SMALL(IF(D$1:D$100=AH23,ROW($1:$100)),COUNTIF(AH$4:AH23,AH23))))</f>
        <v>E</v>
      </c>
    </row>
    <row r="24" spans="1:36" ht="15">
      <c r="A24" s="126">
        <f t="shared" si="0"/>
        <v>5</v>
      </c>
      <c r="B24" s="92" t="s">
        <v>48</v>
      </c>
      <c r="C24" s="92" t="s">
        <v>136</v>
      </c>
      <c r="D24" s="116">
        <f t="shared" si="1"/>
        <v>14</v>
      </c>
      <c r="E24" s="196" t="s">
        <v>169</v>
      </c>
      <c r="F24" s="196" t="s">
        <v>169</v>
      </c>
      <c r="G24" s="196" t="s">
        <v>340</v>
      </c>
      <c r="H24" s="196"/>
      <c r="I24" s="196" t="s">
        <v>169</v>
      </c>
      <c r="J24" s="197">
        <v>3</v>
      </c>
      <c r="K24" s="196"/>
      <c r="L24" s="196" t="s">
        <v>169</v>
      </c>
      <c r="M24" s="196"/>
      <c r="N24" s="196"/>
      <c r="O24" s="196" t="s">
        <v>169</v>
      </c>
      <c r="P24" s="197">
        <v>4</v>
      </c>
      <c r="Q24" s="197">
        <v>3</v>
      </c>
      <c r="R24" s="196"/>
      <c r="S24" s="196"/>
      <c r="T24" s="198">
        <v>1</v>
      </c>
      <c r="U24" s="196" t="s">
        <v>169</v>
      </c>
      <c r="V24" s="197">
        <v>2</v>
      </c>
      <c r="W24" s="196" t="s">
        <v>169</v>
      </c>
      <c r="X24" s="196" t="s">
        <v>169</v>
      </c>
      <c r="Y24" s="196"/>
      <c r="Z24" s="196"/>
      <c r="AA24" s="115"/>
      <c r="AH24" s="91">
        <f t="shared" si="2"/>
        <v>8</v>
      </c>
      <c r="AI24" s="91" t="str">
        <f t="array" ref="AI24">IF(AH24="","",INDEX(B:B,SMALL(IF(D$1:D$100=AH24,ROW($1:$100)),COUNTIF(AH$4:AH24,AH24))))</f>
        <v>Paraguay</v>
      </c>
      <c r="AJ24" s="91" t="str">
        <f t="array" ref="AJ24">IF(AH24="","",INDEX(C:C,SMALL(IF(D$1:D$100=AH24,ROW($1:$100)),COUNTIF(AH$4:AH24,AH24))))</f>
        <v>SA</v>
      </c>
    </row>
    <row r="25" spans="1:36" ht="15">
      <c r="A25" s="126">
        <f t="shared" si="0"/>
        <v>0</v>
      </c>
      <c r="B25" s="92" t="s">
        <v>43</v>
      </c>
      <c r="C25" s="92" t="s">
        <v>55</v>
      </c>
      <c r="D25" s="116">
        <f t="shared" si="1"/>
        <v>3</v>
      </c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 t="s">
        <v>169</v>
      </c>
      <c r="W25" s="196" t="s">
        <v>340</v>
      </c>
      <c r="X25" s="196" t="s">
        <v>169</v>
      </c>
      <c r="Y25" s="196"/>
      <c r="Z25" s="196"/>
      <c r="AA25" s="115"/>
      <c r="AH25" s="91">
        <f t="shared" si="2"/>
        <v>8</v>
      </c>
      <c r="AI25" s="91" t="str">
        <f t="array" ref="AI25">IF(AH25="","",INDEX(B:B,SMALL(IF(D$1:D$100=AH25,ROW($1:$100)),COUNTIF(AH$4:AH25,AH25))))</f>
        <v>Schottland</v>
      </c>
      <c r="AJ25" s="91" t="str">
        <f t="array" ref="AJ25">IF(AH25="","",INDEX(C:C,SMALL(IF(D$1:D$100=AH25,ROW($1:$100)),COUNTIF(AH$4:AH25,AH25))))</f>
        <v>E</v>
      </c>
    </row>
    <row r="26" spans="1:36" ht="15">
      <c r="A26" s="126">
        <f t="shared" si="0"/>
        <v>0</v>
      </c>
      <c r="B26" s="92" t="s">
        <v>70</v>
      </c>
      <c r="C26" s="92" t="s">
        <v>136</v>
      </c>
      <c r="D26" s="116">
        <f t="shared" si="1"/>
        <v>3</v>
      </c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 t="s">
        <v>169</v>
      </c>
      <c r="T26" s="196"/>
      <c r="U26" s="196"/>
      <c r="V26" s="196"/>
      <c r="W26" s="196" t="s">
        <v>169</v>
      </c>
      <c r="X26" s="196" t="s">
        <v>169</v>
      </c>
      <c r="Y26" s="196"/>
      <c r="Z26" s="196"/>
      <c r="AA26" s="115"/>
      <c r="AH26" s="91">
        <f t="shared" si="2"/>
        <v>7</v>
      </c>
      <c r="AI26" s="91" t="str">
        <f t="array" ref="AI26">IF(AH26="","",INDEX(B:B,SMALL(IF(D$1:D$100=AH26,ROW($1:$100)),COUNTIF(AH$4:AH26,AH26))))</f>
        <v>Bulgarien</v>
      </c>
      <c r="AJ26" s="91" t="str">
        <f t="array" ref="AJ26">IF(AH26="","",INDEX(C:C,SMALL(IF(D$1:D$100=AH26,ROW($1:$100)),COUNTIF(AH$4:AH26,AH26))))</f>
        <v>E</v>
      </c>
    </row>
    <row r="27" spans="1:36" ht="15">
      <c r="A27" s="126">
        <f t="shared" si="0"/>
        <v>0</v>
      </c>
      <c r="B27" s="92" t="s">
        <v>183</v>
      </c>
      <c r="C27" s="92" t="s">
        <v>279</v>
      </c>
      <c r="D27" s="116">
        <f t="shared" si="1"/>
        <v>1</v>
      </c>
      <c r="E27" s="196"/>
      <c r="F27" s="196"/>
      <c r="G27" s="196"/>
      <c r="H27" s="196"/>
      <c r="I27" s="196"/>
      <c r="J27" s="196"/>
      <c r="K27" s="196"/>
      <c r="L27" s="196"/>
      <c r="M27" s="196"/>
      <c r="N27" s="196" t="s">
        <v>169</v>
      </c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15"/>
      <c r="AH27" s="91">
        <f t="shared" si="2"/>
        <v>7</v>
      </c>
      <c r="AI27" s="91" t="str">
        <f t="array" ref="AI27">IF(AH27="","",INDEX(B:B,SMALL(IF(D$1:D$100=AH27,ROW($1:$100)),COUNTIF(AH$4:AH27,AH27))))</f>
        <v>Kamerun</v>
      </c>
      <c r="AJ27" s="91" t="str">
        <f t="array" ref="AJ27">IF(AH27="","",INDEX(C:C,SMALL(IF(D$1:D$100=AH27,ROW($1:$100)),COUNTIF(AH$4:AH27,AH27))))</f>
        <v>A</v>
      </c>
    </row>
    <row r="28" spans="1:36" ht="15">
      <c r="A28" s="126">
        <f t="shared" si="0"/>
        <v>4</v>
      </c>
      <c r="B28" s="92" t="s">
        <v>37</v>
      </c>
      <c r="C28" s="92" t="s">
        <v>136</v>
      </c>
      <c r="D28" s="116">
        <f t="shared" si="1"/>
        <v>9</v>
      </c>
      <c r="E28" s="196"/>
      <c r="F28" s="196" t="s">
        <v>169</v>
      </c>
      <c r="G28" s="196"/>
      <c r="H28" s="196"/>
      <c r="I28" s="196"/>
      <c r="J28" s="196"/>
      <c r="K28" s="196"/>
      <c r="L28" s="196"/>
      <c r="M28" s="196"/>
      <c r="N28" s="197">
        <v>2</v>
      </c>
      <c r="O28" s="197">
        <v>2</v>
      </c>
      <c r="P28" s="196"/>
      <c r="Q28" s="196"/>
      <c r="R28" s="196" t="s">
        <v>169</v>
      </c>
      <c r="S28" s="196" t="s">
        <v>340</v>
      </c>
      <c r="T28" s="197">
        <v>4</v>
      </c>
      <c r="U28" s="196"/>
      <c r="V28" s="196" t="s">
        <v>169</v>
      </c>
      <c r="W28" s="197">
        <v>2</v>
      </c>
      <c r="X28" s="196" t="s">
        <v>169</v>
      </c>
      <c r="Y28" s="196"/>
      <c r="Z28" s="196"/>
      <c r="AA28" s="115"/>
      <c r="AH28" s="91">
        <f t="shared" si="2"/>
        <v>7</v>
      </c>
      <c r="AI28" s="91" t="str">
        <f t="array" ref="AI28">IF(AH28="","",INDEX(B:B,SMALL(IF(D$1:D$100=AH28,ROW($1:$100)),COUNTIF(AH$4:AH28,AH28))))</f>
        <v>Österreich</v>
      </c>
      <c r="AJ28" s="91" t="str">
        <f t="array" ref="AJ28">IF(AH28="","",INDEX(C:C,SMALL(IF(D$1:D$100=AH28,ROW($1:$100)),COUNTIF(AH$4:AH28,AH28))))</f>
        <v>E</v>
      </c>
    </row>
    <row r="29" spans="1:36" ht="15">
      <c r="A29" s="126">
        <f t="shared" si="0"/>
        <v>0</v>
      </c>
      <c r="B29" s="92" t="s">
        <v>68</v>
      </c>
      <c r="C29" s="92" t="s">
        <v>279</v>
      </c>
      <c r="D29" s="116">
        <f t="shared" si="1"/>
        <v>3</v>
      </c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 t="s">
        <v>169</v>
      </c>
      <c r="Q29" s="196"/>
      <c r="R29" s="196"/>
      <c r="S29" s="196"/>
      <c r="T29" s="196"/>
      <c r="U29" s="196"/>
      <c r="V29" s="196"/>
      <c r="W29" s="196" t="s">
        <v>169</v>
      </c>
      <c r="X29" s="196" t="s">
        <v>169</v>
      </c>
      <c r="Y29" s="196"/>
      <c r="Z29" s="196"/>
      <c r="AA29" s="115"/>
      <c r="AH29" s="91">
        <f t="shared" si="2"/>
        <v>7</v>
      </c>
      <c r="AI29" s="91" t="str">
        <f t="array" ref="AI29">IF(AH29="","",INDEX(B:B,SMALL(IF(D$1:D$100=AH29,ROW($1:$100)),COUNTIF(AH$4:AH29,AH29))))</f>
        <v>Polen</v>
      </c>
      <c r="AJ29" s="91" t="str">
        <f t="array" ref="AJ29">IF(AH29="","",INDEX(C:C,SMALL(IF(D$1:D$100=AH29,ROW($1:$100)),COUNTIF(AH$4:AH29,AH29))))</f>
        <v>E</v>
      </c>
    </row>
    <row r="30" spans="1:36" ht="15">
      <c r="A30" s="126">
        <f t="shared" si="0"/>
        <v>0</v>
      </c>
      <c r="B30" s="92" t="s">
        <v>175</v>
      </c>
      <c r="C30" s="92" t="s">
        <v>352</v>
      </c>
      <c r="D30" s="116">
        <f t="shared" si="1"/>
        <v>1</v>
      </c>
      <c r="E30" s="196"/>
      <c r="F30" s="196"/>
      <c r="G30" s="196" t="s">
        <v>169</v>
      </c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15"/>
      <c r="AH30" s="91">
        <f t="shared" si="2"/>
        <v>7</v>
      </c>
      <c r="AI30" s="91" t="str">
        <f t="array" ref="AI30">IF(AH30="","",INDEX(B:B,SMALL(IF(D$1:D$100=AH30,ROW($1:$100)),COUNTIF(AH$4:AH30,AH30))))</f>
        <v>Rumänien</v>
      </c>
      <c r="AJ30" s="91" t="str">
        <f t="array" ref="AJ30">IF(AH30="","",INDEX(C:C,SMALL(IF(D$1:D$100=AH30,ROW($1:$100)),COUNTIF(AH$4:AH30,AH30))))</f>
        <v>E</v>
      </c>
    </row>
    <row r="31" spans="1:36" ht="15">
      <c r="A31" s="126">
        <f t="shared" si="0"/>
        <v>0</v>
      </c>
      <c r="B31" s="92" t="s">
        <v>186</v>
      </c>
      <c r="C31" s="92" t="s">
        <v>352</v>
      </c>
      <c r="D31" s="116">
        <f t="shared" si="1"/>
        <v>1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 t="s">
        <v>169</v>
      </c>
      <c r="R31" s="196"/>
      <c r="S31" s="196"/>
      <c r="T31" s="196"/>
      <c r="U31" s="196"/>
      <c r="V31" s="196"/>
      <c r="W31" s="196"/>
      <c r="X31" s="196"/>
      <c r="Y31" s="196"/>
      <c r="Z31" s="196"/>
      <c r="AA31" s="115"/>
      <c r="AH31" s="91">
        <f t="shared" si="2"/>
        <v>6</v>
      </c>
      <c r="AI31" s="91" t="str">
        <f t="array" ref="AI31">IF(AH31="","",INDEX(B:B,SMALL(IF(D$1:D$100=AH31,ROW($1:$100)),COUNTIF(AH$4:AH31,AH31))))</f>
        <v>Portugal</v>
      </c>
      <c r="AJ31" s="91" t="str">
        <f t="array" ref="AJ31">IF(AH31="","",INDEX(C:C,SMALL(IF(D$1:D$100=AH31,ROW($1:$100)),COUNTIF(AH$4:AH31,AH31))))</f>
        <v>E</v>
      </c>
    </row>
    <row r="32" spans="1:36" ht="15">
      <c r="A32" s="126">
        <f t="shared" si="0"/>
        <v>0</v>
      </c>
      <c r="B32" s="92" t="s">
        <v>39</v>
      </c>
      <c r="C32" s="92" t="s">
        <v>352</v>
      </c>
      <c r="D32" s="116">
        <f t="shared" si="1"/>
        <v>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 t="s">
        <v>169</v>
      </c>
      <c r="P32" s="196"/>
      <c r="Q32" s="196"/>
      <c r="R32" s="196"/>
      <c r="S32" s="196"/>
      <c r="T32" s="196" t="s">
        <v>169</v>
      </c>
      <c r="U32" s="196"/>
      <c r="V32" s="196" t="s">
        <v>169</v>
      </c>
      <c r="W32" s="196"/>
      <c r="X32" s="196" t="s">
        <v>169</v>
      </c>
      <c r="Y32" s="196"/>
      <c r="Z32" s="196"/>
      <c r="AA32" s="115"/>
      <c r="AH32" s="91">
        <f t="shared" si="2"/>
        <v>5</v>
      </c>
      <c r="AI32" s="91" t="str">
        <f t="array" ref="AI32">IF(AH32="","",INDEX(B:B,SMALL(IF(D$1:D$100=AH32,ROW($1:$100)),COUNTIF(AH$4:AH32,AH32))))</f>
        <v>Japan</v>
      </c>
      <c r="AJ32" s="91" t="str">
        <f t="array" ref="AJ32">IF(AH32="","",INDEX(C:C,SMALL(IF(D$1:D$100=AH32,ROW($1:$100)),COUNTIF(AH$4:AH32,AH32))))</f>
        <v>AS</v>
      </c>
    </row>
    <row r="33" spans="1:36" ht="15">
      <c r="A33" s="126">
        <f t="shared" si="0"/>
        <v>0</v>
      </c>
      <c r="B33" s="92" t="s">
        <v>188</v>
      </c>
      <c r="C33" s="92" t="s">
        <v>136</v>
      </c>
      <c r="D33" s="116">
        <f t="shared" si="1"/>
        <v>3</v>
      </c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 t="s">
        <v>340</v>
      </c>
      <c r="S33" s="196" t="s">
        <v>169</v>
      </c>
      <c r="T33" s="196"/>
      <c r="U33" s="196" t="s">
        <v>169</v>
      </c>
      <c r="V33" s="196"/>
      <c r="W33" s="196"/>
      <c r="X33" s="196"/>
      <c r="Y33" s="196"/>
      <c r="Z33" s="196"/>
      <c r="AA33" s="115"/>
      <c r="AH33" s="91">
        <f t="shared" si="2"/>
        <v>5</v>
      </c>
      <c r="AI33" s="91" t="str">
        <f t="array" ref="AI33">IF(AH33="","",INDEX(B:B,SMALL(IF(D$1:D$100=AH33,ROW($1:$100)),COUNTIF(AH$4:AH33,AH33))))</f>
        <v>Kolumbien</v>
      </c>
      <c r="AJ33" s="91" t="str">
        <f t="array" ref="AJ33">IF(AH33="","",INDEX(C:C,SMALL(IF(D$1:D$100=AH33,ROW($1:$100)),COUNTIF(AH$4:AH33,AH33))))</f>
        <v>SA</v>
      </c>
    </row>
    <row r="34" spans="1:36" ht="15">
      <c r="A34" s="126">
        <f t="shared" si="0"/>
        <v>0</v>
      </c>
      <c r="B34" s="92" t="s">
        <v>181</v>
      </c>
      <c r="C34" s="92" t="s">
        <v>352</v>
      </c>
      <c r="D34" s="116">
        <f t="shared" si="1"/>
        <v>1</v>
      </c>
      <c r="E34" s="196"/>
      <c r="F34" s="196"/>
      <c r="G34" s="196"/>
      <c r="H34" s="196"/>
      <c r="I34" s="196"/>
      <c r="J34" s="196"/>
      <c r="K34" s="196"/>
      <c r="L34" s="196"/>
      <c r="M34" s="196" t="s">
        <v>169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15"/>
      <c r="AH34" s="91">
        <f t="shared" si="2"/>
        <v>5</v>
      </c>
      <c r="AI34" s="91" t="str">
        <f t="array" ref="AI34">IF(AH34="","",INDEX(B:B,SMALL(IF(D$1:D$100=AH34,ROW($1:$100)),COUNTIF(AH$4:AH34,AH34))))</f>
        <v>Nigeria</v>
      </c>
      <c r="AJ34" s="91" t="str">
        <f t="array" ref="AJ34">IF(AH34="","",INDEX(C:C,SMALL(IF(D$1:D$100=AH34,ROW($1:$100)),COUNTIF(AH$4:AH34,AH34))))</f>
        <v>A</v>
      </c>
    </row>
    <row r="35" spans="1:36" ht="15">
      <c r="A35" s="126">
        <f t="shared" si="0"/>
        <v>8</v>
      </c>
      <c r="B35" s="92" t="s">
        <v>42</v>
      </c>
      <c r="C35" s="92" t="s">
        <v>136</v>
      </c>
      <c r="D35" s="116">
        <f t="shared" si="1"/>
        <v>18</v>
      </c>
      <c r="E35" s="196"/>
      <c r="F35" s="198">
        <v>1</v>
      </c>
      <c r="G35" s="198">
        <v>1</v>
      </c>
      <c r="H35" s="196" t="s">
        <v>169</v>
      </c>
      <c r="I35" s="196" t="s">
        <v>169</v>
      </c>
      <c r="J35" s="196"/>
      <c r="K35" s="196" t="s">
        <v>169</v>
      </c>
      <c r="L35" s="196" t="s">
        <v>169</v>
      </c>
      <c r="M35" s="197">
        <v>2</v>
      </c>
      <c r="N35" s="196" t="s">
        <v>169</v>
      </c>
      <c r="O35" s="197">
        <v>4</v>
      </c>
      <c r="P35" s="198">
        <v>1</v>
      </c>
      <c r="Q35" s="196" t="s">
        <v>169</v>
      </c>
      <c r="R35" s="197">
        <v>3</v>
      </c>
      <c r="S35" s="197">
        <v>2</v>
      </c>
      <c r="T35" s="196" t="s">
        <v>340</v>
      </c>
      <c r="U35" s="196" t="s">
        <v>169</v>
      </c>
      <c r="V35" s="198">
        <v>1</v>
      </c>
      <c r="W35" s="196" t="s">
        <v>169</v>
      </c>
      <c r="X35" s="196" t="s">
        <v>169</v>
      </c>
      <c r="Y35" s="196"/>
      <c r="Z35" s="196"/>
      <c r="AA35" s="115"/>
      <c r="AH35" s="91">
        <f t="shared" si="2"/>
        <v>4</v>
      </c>
      <c r="AI35" s="91" t="str">
        <f t="array" ref="AI35">IF(AH35="","",INDEX(B:B,SMALL(IF(D$1:D$100=AH35,ROW($1:$100)),COUNTIF(AH$4:AH35,AH35))))</f>
        <v>Algerien</v>
      </c>
      <c r="AJ35" s="91" t="str">
        <f t="array" ref="AJ35">IF(AH35="","",INDEX(C:C,SMALL(IF(D$1:D$100=AH35,ROW($1:$100)),COUNTIF(AH$4:AH35,AH35))))</f>
        <v>A</v>
      </c>
    </row>
    <row r="36" spans="1:36" ht="15">
      <c r="A36" s="126">
        <f t="shared" ref="A36:A67" si="3">SUM(COUNTIF(E36:Z36,"&lt;5"))</f>
        <v>0</v>
      </c>
      <c r="B36" s="92" t="s">
        <v>189</v>
      </c>
      <c r="C36" s="92" t="s">
        <v>279</v>
      </c>
      <c r="D36" s="116">
        <f t="shared" ref="D36:D67" si="4">COUNTA(E36:Y36)</f>
        <v>1</v>
      </c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 t="s">
        <v>169</v>
      </c>
      <c r="U36" s="196"/>
      <c r="V36" s="196"/>
      <c r="W36" s="196"/>
      <c r="X36" s="196"/>
      <c r="Y36" s="196"/>
      <c r="Z36" s="196"/>
      <c r="AA36" s="115"/>
      <c r="AH36" s="91">
        <f t="shared" si="2"/>
        <v>4</v>
      </c>
      <c r="AI36" s="91" t="str">
        <f t="array" ref="AI36">IF(AH36="","",INDEX(B:B,SMALL(IF(D$1:D$100=AH36,ROW($1:$100)),COUNTIF(AH$4:AH36,AH36))))</f>
        <v>Australien</v>
      </c>
      <c r="AJ36" s="91" t="str">
        <f t="array" ref="AJ36">IF(AH36="","",INDEX(C:C,SMALL(IF(D$1:D$100=AH36,ROW($1:$100)),COUNTIF(AH$4:AH36,AH36))))</f>
        <v>AS</v>
      </c>
    </row>
    <row r="37" spans="1:36" ht="15">
      <c r="A37" s="126">
        <f t="shared" si="3"/>
        <v>0</v>
      </c>
      <c r="B37" s="92" t="s">
        <v>47</v>
      </c>
      <c r="C37" s="92" t="s">
        <v>352</v>
      </c>
      <c r="D37" s="116">
        <f t="shared" si="4"/>
        <v>5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 t="s">
        <v>169</v>
      </c>
      <c r="U37" s="196" t="s">
        <v>169</v>
      </c>
      <c r="V37" s="196" t="s">
        <v>169</v>
      </c>
      <c r="W37" s="196" t="s">
        <v>169</v>
      </c>
      <c r="X37" s="196" t="s">
        <v>169</v>
      </c>
      <c r="Y37" s="196"/>
      <c r="Z37" s="196"/>
      <c r="AA37" s="115"/>
      <c r="AH37" s="91">
        <f t="shared" si="2"/>
        <v>4</v>
      </c>
      <c r="AI37" s="91" t="str">
        <f t="array" ref="AI37">IF(AH37="","",INDEX(B:B,SMALL(IF(D$1:D$100=AH37,ROW($1:$100)),COUNTIF(AH$4:AH37,AH37))))</f>
        <v>Costa Rica</v>
      </c>
      <c r="AJ37" s="91" t="str">
        <f t="array" ref="AJ37">IF(AH37="","",INDEX(C:C,SMALL(IF(D$1:D$100=AH37,ROW($1:$100)),COUNTIF(AH$4:AH37,AH37))))</f>
        <v>NA</v>
      </c>
    </row>
    <row r="38" spans="1:36" ht="15">
      <c r="A38" s="126">
        <f t="shared" si="3"/>
        <v>0</v>
      </c>
      <c r="B38" s="92" t="s">
        <v>62</v>
      </c>
      <c r="C38" s="92" t="s">
        <v>55</v>
      </c>
      <c r="D38" s="116">
        <f t="shared" si="4"/>
        <v>7</v>
      </c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 t="s">
        <v>169</v>
      </c>
      <c r="Q38" s="196"/>
      <c r="R38" s="196" t="s">
        <v>340</v>
      </c>
      <c r="S38" s="196" t="s">
        <v>169</v>
      </c>
      <c r="T38" s="196" t="s">
        <v>169</v>
      </c>
      <c r="U38" s="196" t="s">
        <v>169</v>
      </c>
      <c r="V38" s="196"/>
      <c r="W38" s="196" t="s">
        <v>169</v>
      </c>
      <c r="X38" s="196" t="s">
        <v>169</v>
      </c>
      <c r="Y38" s="196"/>
      <c r="Z38" s="196"/>
      <c r="AA38" s="115"/>
      <c r="AH38" s="91">
        <f t="shared" si="2"/>
        <v>4</v>
      </c>
      <c r="AI38" s="91" t="str">
        <f t="array" ref="AI38">IF(AH38="","",INDEX(B:B,SMALL(IF(D$1:D$100=AH38,ROW($1:$100)),COUNTIF(AH$4:AH38,AH38))))</f>
        <v>Dänemark</v>
      </c>
      <c r="AJ38" s="91" t="str">
        <f t="array" ref="AJ38">IF(AH38="","",INDEX(C:C,SMALL(IF(D$1:D$100=AH38,ROW($1:$100)),COUNTIF(AH$4:AH38,AH38))))</f>
        <v>E</v>
      </c>
    </row>
    <row r="39" spans="1:36" ht="15">
      <c r="A39" s="126">
        <f t="shared" si="3"/>
        <v>0</v>
      </c>
      <c r="B39" s="92" t="s">
        <v>187</v>
      </c>
      <c r="C39" s="92" t="s">
        <v>279</v>
      </c>
      <c r="D39" s="116">
        <f t="shared" si="4"/>
        <v>1</v>
      </c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 t="s">
        <v>169</v>
      </c>
      <c r="R39" s="196"/>
      <c r="S39" s="196"/>
      <c r="T39" s="196"/>
      <c r="U39" s="196"/>
      <c r="V39" s="196"/>
      <c r="W39" s="196"/>
      <c r="X39" s="196"/>
      <c r="Y39" s="196"/>
      <c r="Z39" s="196"/>
      <c r="AA39" s="115"/>
      <c r="AH39" s="91">
        <f t="shared" si="2"/>
        <v>4</v>
      </c>
      <c r="AI39" s="91" t="str">
        <f t="array" ref="AI39">IF(AH39="","",INDEX(B:B,SMALL(IF(D$1:D$100=AH39,ROW($1:$100)),COUNTIF(AH$4:AH39,AH39))))</f>
        <v>Iran</v>
      </c>
      <c r="AJ39" s="91" t="str">
        <f t="array" ref="AJ39">IF(AH39="","",INDEX(C:C,SMALL(IF(D$1:D$100=AH39,ROW($1:$100)),COUNTIF(AH$4:AH39,AH39))))</f>
        <v>AS</v>
      </c>
    </row>
    <row r="40" spans="1:36" ht="15">
      <c r="A40" s="126">
        <f t="shared" si="3"/>
        <v>0</v>
      </c>
      <c r="B40" s="92" t="s">
        <v>180</v>
      </c>
      <c r="C40" s="92" t="s">
        <v>278</v>
      </c>
      <c r="D40" s="116">
        <f t="shared" si="4"/>
        <v>5</v>
      </c>
      <c r="E40" s="196"/>
      <c r="F40" s="196"/>
      <c r="G40" s="196"/>
      <c r="H40" s="196"/>
      <c r="I40" s="196"/>
      <c r="J40" s="196"/>
      <c r="K40" s="196" t="s">
        <v>169</v>
      </c>
      <c r="L40" s="196"/>
      <c r="M40" s="196"/>
      <c r="N40" s="196"/>
      <c r="O40" s="196"/>
      <c r="P40" s="196"/>
      <c r="Q40" s="196"/>
      <c r="R40" s="196" t="s">
        <v>169</v>
      </c>
      <c r="S40" s="196" t="s">
        <v>169</v>
      </c>
      <c r="T40" s="196" t="s">
        <v>169</v>
      </c>
      <c r="U40" s="196"/>
      <c r="V40" s="196"/>
      <c r="W40" s="196"/>
      <c r="X40" s="196" t="s">
        <v>169</v>
      </c>
      <c r="Y40" s="196"/>
      <c r="Z40" s="196"/>
      <c r="AA40" s="115"/>
      <c r="AH40" s="91">
        <f t="shared" si="2"/>
        <v>4</v>
      </c>
      <c r="AI40" s="91" t="str">
        <f t="array" ref="AI40">IF(AH40="","",INDEX(B:B,SMALL(IF(D$1:D$100=AH40,ROW($1:$100)),COUNTIF(AH$4:AH40,AH40))))</f>
        <v>Kroatien</v>
      </c>
      <c r="AJ40" s="91" t="str">
        <f t="array" ref="AJ40">IF(AH40="","",INDEX(C:C,SMALL(IF(D$1:D$100=AH40,ROW($1:$100)),COUNTIF(AH$4:AH40,AH40))))</f>
        <v>E</v>
      </c>
    </row>
    <row r="41" spans="1:36" ht="15">
      <c r="A41" s="126">
        <f t="shared" si="3"/>
        <v>0</v>
      </c>
      <c r="B41" s="92" t="s">
        <v>184</v>
      </c>
      <c r="C41" s="92" t="s">
        <v>55</v>
      </c>
      <c r="D41" s="116">
        <f t="shared" si="4"/>
        <v>1</v>
      </c>
      <c r="E41" s="196"/>
      <c r="F41" s="196"/>
      <c r="G41" s="196"/>
      <c r="H41" s="196"/>
      <c r="I41" s="196"/>
      <c r="J41" s="196"/>
      <c r="K41" s="196"/>
      <c r="L41" s="196"/>
      <c r="M41" s="196"/>
      <c r="N41" s="196" t="s">
        <v>169</v>
      </c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15"/>
      <c r="AH41" s="91">
        <f t="shared" si="2"/>
        <v>4</v>
      </c>
      <c r="AI41" s="91" t="str">
        <f t="array" ref="AI41">IF(AH41="","",INDEX(B:B,SMALL(IF(D$1:D$100=AH41,ROW($1:$100)),COUNTIF(AH$4:AH41,AH41))))</f>
        <v>Marokko</v>
      </c>
      <c r="AJ41" s="91" t="str">
        <f t="array" ref="AJ41">IF(AH41="","",INDEX(C:C,SMALL(IF(D$1:D$100=AH41,ROW($1:$100)),COUNTIF(AH$4:AH41,AH41))))</f>
        <v>A</v>
      </c>
    </row>
    <row r="42" spans="1:36" ht="15">
      <c r="A42" s="126">
        <f t="shared" si="3"/>
        <v>1</v>
      </c>
      <c r="B42" s="92" t="s">
        <v>45</v>
      </c>
      <c r="C42" s="92" t="s">
        <v>136</v>
      </c>
      <c r="D42" s="116">
        <f t="shared" si="4"/>
        <v>4</v>
      </c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7">
        <v>3</v>
      </c>
      <c r="U42" s="196" t="s">
        <v>169</v>
      </c>
      <c r="V42" s="196" t="s">
        <v>169</v>
      </c>
      <c r="W42" s="196"/>
      <c r="X42" s="196" t="s">
        <v>169</v>
      </c>
      <c r="Y42" s="196"/>
      <c r="Z42" s="196"/>
      <c r="AA42" s="115"/>
      <c r="AH42" s="91">
        <f t="shared" si="2"/>
        <v>4</v>
      </c>
      <c r="AI42" s="91" t="str">
        <f t="array" ref="AI42">IF(AH42="","",INDEX(B:B,SMALL(IF(D$1:D$100=AH42,ROW($1:$100)),COUNTIF(AH$4:AH42,AH42))))</f>
        <v>Peru</v>
      </c>
      <c r="AJ42" s="91" t="str">
        <f t="array" ref="AJ42">IF(AH42="","",INDEX(C:C,SMALL(IF(D$1:D$100=AH42,ROW($1:$100)),COUNTIF(AH$4:AH42,AH42))))</f>
        <v>SA</v>
      </c>
    </row>
    <row r="43" spans="1:36" ht="15">
      <c r="A43" s="126">
        <f t="shared" si="3"/>
        <v>0</v>
      </c>
      <c r="B43" s="92" t="s">
        <v>174</v>
      </c>
      <c r="C43" s="92" t="s">
        <v>279</v>
      </c>
      <c r="D43" s="116">
        <f t="shared" si="4"/>
        <v>1</v>
      </c>
      <c r="E43" s="196"/>
      <c r="F43" s="196"/>
      <c r="G43" s="196" t="s">
        <v>340</v>
      </c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15"/>
      <c r="AH43" s="91">
        <f t="shared" si="2"/>
        <v>4</v>
      </c>
      <c r="AI43" s="91" t="str">
        <f t="array" ref="AI43">IF(AH43="","",INDEX(B:B,SMALL(IF(D$1:D$100=AH43,ROW($1:$100)),COUNTIF(AH$4:AH43,AH43))))</f>
        <v>Saudiarabien</v>
      </c>
      <c r="AJ43" s="91" t="str">
        <f t="array" ref="AJ43">IF(AH43="","",INDEX(C:C,SMALL(IF(D$1:D$100=AH43,ROW($1:$100)),COUNTIF(AH$4:AH43,AH43))))</f>
        <v>AS</v>
      </c>
    </row>
    <row r="44" spans="1:36" ht="15">
      <c r="A44" s="126">
        <f t="shared" si="3"/>
        <v>0</v>
      </c>
      <c r="B44" s="92" t="s">
        <v>185</v>
      </c>
      <c r="C44" s="92" t="s">
        <v>352</v>
      </c>
      <c r="D44" s="116">
        <f t="shared" si="4"/>
        <v>1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 t="s">
        <v>169</v>
      </c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15"/>
      <c r="AH44" s="91">
        <f t="shared" si="2"/>
        <v>4</v>
      </c>
      <c r="AI44" s="91" t="str">
        <f t="array" ref="AI44">IF(AH44="","",INDEX(B:B,SMALL(IF(D$1:D$100=AH44,ROW($1:$100)),COUNTIF(AH$4:AH44,AH44))))</f>
        <v>Tunesien</v>
      </c>
      <c r="AJ44" s="91" t="str">
        <f t="array" ref="AJ44">IF(AH44="","",INDEX(C:C,SMALL(IF(D$1:D$100=AH44,ROW($1:$100)),COUNTIF(AH$4:AH44,AH44))))</f>
        <v>A</v>
      </c>
    </row>
    <row r="45" spans="1:36" ht="15">
      <c r="A45" s="126">
        <f t="shared" si="3"/>
        <v>0</v>
      </c>
      <c r="B45" s="92" t="s">
        <v>414</v>
      </c>
      <c r="C45" s="92" t="s">
        <v>55</v>
      </c>
      <c r="D45" s="116">
        <f t="shared" si="4"/>
        <v>4</v>
      </c>
      <c r="E45" s="196"/>
      <c r="F45" s="196"/>
      <c r="G45" s="196"/>
      <c r="H45" s="196"/>
      <c r="I45" s="196"/>
      <c r="J45" s="196"/>
      <c r="K45" s="196"/>
      <c r="L45" s="196"/>
      <c r="M45" s="196" t="s">
        <v>169</v>
      </c>
      <c r="N45" s="196"/>
      <c r="O45" s="196"/>
      <c r="P45" s="196"/>
      <c r="Q45" s="196" t="s">
        <v>169</v>
      </c>
      <c r="R45" s="196"/>
      <c r="S45" s="196" t="s">
        <v>169</v>
      </c>
      <c r="T45" s="196" t="s">
        <v>169</v>
      </c>
      <c r="U45" s="196"/>
      <c r="V45" s="196"/>
      <c r="W45" s="196"/>
      <c r="X45" s="196"/>
      <c r="Y45" s="196"/>
      <c r="Z45" s="196"/>
      <c r="AA45" s="115"/>
      <c r="AH45" s="91">
        <f t="shared" si="2"/>
        <v>3</v>
      </c>
      <c r="AI45" s="91" t="str">
        <f t="array" ref="AI45">IF(AH45="","",INDEX(B:B,SMALL(IF(D$1:D$100=AH45,ROW($1:$100)),COUNTIF(AH$4:AH45,AH45))))</f>
        <v>Bolivien</v>
      </c>
      <c r="AJ45" s="91" t="str">
        <f t="array" ref="AJ45">IF(AH45="","",INDEX(C:C,SMALL(IF(D$1:D$100=AH45,ROW($1:$100)),COUNTIF(AH$4:AH45,AH45))))</f>
        <v>SA</v>
      </c>
    </row>
    <row r="46" spans="1:36" ht="15">
      <c r="A46" s="126">
        <f t="shared" si="3"/>
        <v>0</v>
      </c>
      <c r="B46" s="92" t="s">
        <v>38</v>
      </c>
      <c r="C46" s="92" t="s">
        <v>279</v>
      </c>
      <c r="D46" s="116">
        <f t="shared" si="4"/>
        <v>15</v>
      </c>
      <c r="E46" s="196" t="s">
        <v>169</v>
      </c>
      <c r="F46" s="196"/>
      <c r="G46" s="196"/>
      <c r="H46" s="196" t="s">
        <v>169</v>
      </c>
      <c r="I46" s="196" t="s">
        <v>169</v>
      </c>
      <c r="J46" s="196" t="s">
        <v>169</v>
      </c>
      <c r="K46" s="196" t="s">
        <v>169</v>
      </c>
      <c r="L46" s="196" t="s">
        <v>169</v>
      </c>
      <c r="M46" s="196" t="s">
        <v>340</v>
      </c>
      <c r="N46" s="196"/>
      <c r="O46" s="196" t="s">
        <v>169</v>
      </c>
      <c r="P46" s="196"/>
      <c r="Q46" s="196" t="s">
        <v>340</v>
      </c>
      <c r="R46" s="196"/>
      <c r="S46" s="196" t="s">
        <v>169</v>
      </c>
      <c r="T46" s="196" t="s">
        <v>169</v>
      </c>
      <c r="U46" s="196" t="s">
        <v>169</v>
      </c>
      <c r="V46" s="196" t="s">
        <v>169</v>
      </c>
      <c r="W46" s="196" t="s">
        <v>169</v>
      </c>
      <c r="X46" s="196" t="s">
        <v>169</v>
      </c>
      <c r="Y46" s="196"/>
      <c r="Z46" s="196"/>
      <c r="AA46" s="115"/>
      <c r="AH46" s="91">
        <f t="shared" si="2"/>
        <v>3</v>
      </c>
      <c r="AI46" s="91" t="str">
        <f t="array" ref="AI46">IF(AH46="","",INDEX(B:B,SMALL(IF(D$1:D$100=AH46,ROW($1:$100)),COUNTIF(AH$4:AH46,AH46))))</f>
        <v>Ecuador</v>
      </c>
      <c r="AJ46" s="91" t="str">
        <f t="array" ref="AJ46">IF(AH46="","",INDEX(C:C,SMALL(IF(D$1:D$100=AH46,ROW($1:$100)),COUNTIF(AH$4:AH46,AH46))))</f>
        <v>NA</v>
      </c>
    </row>
    <row r="47" spans="1:36" ht="15">
      <c r="A47" s="126">
        <f t="shared" si="3"/>
        <v>0</v>
      </c>
      <c r="B47" s="92" t="s">
        <v>63</v>
      </c>
      <c r="C47" s="92" t="s">
        <v>353</v>
      </c>
      <c r="D47" s="116">
        <f t="shared" si="4"/>
        <v>2</v>
      </c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 t="s">
        <v>169</v>
      </c>
      <c r="Q47" s="196"/>
      <c r="R47" s="196"/>
      <c r="S47" s="196"/>
      <c r="T47" s="196"/>
      <c r="U47" s="196"/>
      <c r="V47" s="196"/>
      <c r="W47" s="196" t="s">
        <v>169</v>
      </c>
      <c r="X47" s="196"/>
      <c r="Y47" s="196"/>
      <c r="Z47" s="196"/>
      <c r="AA47" s="115"/>
      <c r="AH47" s="91">
        <f t="shared" si="2"/>
        <v>3</v>
      </c>
      <c r="AI47" s="91" t="str">
        <f t="array" ref="AI47">IF(AH47="","",INDEX(B:B,SMALL(IF(D$1:D$100=AH47,ROW($1:$100)),COUNTIF(AH$4:AH47,AH47))))</f>
        <v>Elfenbeinküste</v>
      </c>
      <c r="AJ47" s="91" t="str">
        <f t="array" ref="AJ47">IF(AH47="","",INDEX(C:C,SMALL(IF(D$1:D$100=AH47,ROW($1:$100)),COUNTIF(AH$4:AH47,AH47))))</f>
        <v>A</v>
      </c>
    </row>
    <row r="48" spans="1:36" ht="15">
      <c r="A48" s="126">
        <f t="shared" si="3"/>
        <v>0</v>
      </c>
      <c r="B48" s="92" t="s">
        <v>67</v>
      </c>
      <c r="C48" s="92" t="s">
        <v>55</v>
      </c>
      <c r="D48" s="116">
        <f t="shared" si="4"/>
        <v>5</v>
      </c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 t="s">
        <v>169</v>
      </c>
      <c r="T48" s="196" t="s">
        <v>169</v>
      </c>
      <c r="U48" s="196" t="s">
        <v>169</v>
      </c>
      <c r="V48" s="196"/>
      <c r="W48" s="196" t="s">
        <v>169</v>
      </c>
      <c r="X48" s="196" t="s">
        <v>169</v>
      </c>
      <c r="Y48" s="196"/>
      <c r="Z48" s="196"/>
      <c r="AA48" s="115"/>
      <c r="AH48" s="91">
        <f t="shared" si="2"/>
        <v>3</v>
      </c>
      <c r="AI48" s="91" t="str">
        <f t="array" ref="AI48">IF(AH48="","",INDEX(B:B,SMALL(IF(D$1:D$100=AH48,ROW($1:$100)),COUNTIF(AH$4:AH48,AH48))))</f>
        <v>Ghana</v>
      </c>
      <c r="AJ48" s="91" t="str">
        <f t="array" ref="AJ48">IF(AH48="","",INDEX(C:C,SMALL(IF(D$1:D$100=AH48,ROW($1:$100)),COUNTIF(AH$4:AH48,AH48))))</f>
        <v>A</v>
      </c>
    </row>
    <row r="49" spans="1:36" ht="15">
      <c r="A49" s="126">
        <f t="shared" si="3"/>
        <v>0</v>
      </c>
      <c r="B49" s="92" t="s">
        <v>178</v>
      </c>
      <c r="C49" s="92" t="s">
        <v>136</v>
      </c>
      <c r="D49" s="116">
        <f t="shared" si="4"/>
        <v>3</v>
      </c>
      <c r="E49" s="196"/>
      <c r="F49" s="196"/>
      <c r="G49" s="196"/>
      <c r="H49" s="196"/>
      <c r="I49" s="196"/>
      <c r="J49" s="196" t="s">
        <v>340</v>
      </c>
      <c r="K49" s="196"/>
      <c r="L49" s="196"/>
      <c r="M49" s="196"/>
      <c r="N49" s="196"/>
      <c r="O49" s="196"/>
      <c r="P49" s="196" t="s">
        <v>169</v>
      </c>
      <c r="Q49" s="196" t="s">
        <v>169</v>
      </c>
      <c r="R49" s="196"/>
      <c r="S49" s="196"/>
      <c r="T49" s="196"/>
      <c r="U49" s="196"/>
      <c r="V49" s="196"/>
      <c r="W49" s="196"/>
      <c r="X49" s="196"/>
      <c r="Y49" s="196"/>
      <c r="Z49" s="196"/>
      <c r="AA49" s="115"/>
      <c r="AH49" s="91">
        <f t="shared" si="2"/>
        <v>3</v>
      </c>
      <c r="AI49" s="91" t="str">
        <f t="array" ref="AI49">IF(AH49="","",INDEX(B:B,SMALL(IF(D$1:D$100=AH49,ROW($1:$100)),COUNTIF(AH$4:AH49,AH49))))</f>
        <v>Griechenland</v>
      </c>
      <c r="AJ49" s="91" t="str">
        <f t="array" ref="AJ49">IF(AH49="","",INDEX(C:C,SMALL(IF(D$1:D$100=AH49,ROW($1:$100)),COUNTIF(AH$4:AH49,AH49))))</f>
        <v>E</v>
      </c>
    </row>
    <row r="50" spans="1:36" ht="15">
      <c r="A50" s="126">
        <f t="shared" si="3"/>
        <v>0</v>
      </c>
      <c r="B50" s="92" t="s">
        <v>59</v>
      </c>
      <c r="C50" s="92" t="s">
        <v>352</v>
      </c>
      <c r="D50" s="116">
        <f t="shared" si="4"/>
        <v>2</v>
      </c>
      <c r="E50" s="196"/>
      <c r="F50" s="196"/>
      <c r="G50" s="196"/>
      <c r="H50" s="196"/>
      <c r="I50" s="196"/>
      <c r="J50" s="196"/>
      <c r="K50" s="196"/>
      <c r="L50" s="196" t="s">
        <v>340</v>
      </c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 t="s">
        <v>169</v>
      </c>
      <c r="X50" s="196"/>
      <c r="Y50" s="196"/>
      <c r="Z50" s="196"/>
      <c r="AA50" s="115"/>
      <c r="AH50" s="91">
        <f t="shared" si="2"/>
        <v>3</v>
      </c>
      <c r="AI50" s="91" t="str">
        <f t="array" ref="AI50">IF(AH50="","",INDEX(B:B,SMALL(IF(D$1:D$100=AH50,ROW($1:$100)),COUNTIF(AH$4:AH50,AH50))))</f>
        <v>Honduras</v>
      </c>
      <c r="AJ50" s="91" t="str">
        <f t="array" ref="AJ50">IF(AH50="","",INDEX(C:C,SMALL(IF(D$1:D$100=AH50,ROW($1:$100)),COUNTIF(AH$4:AH50,AH50))))</f>
        <v>NA</v>
      </c>
    </row>
    <row r="51" spans="1:36" ht="15">
      <c r="A51" s="126">
        <f t="shared" si="3"/>
        <v>0</v>
      </c>
      <c r="B51" s="92" t="s">
        <v>176</v>
      </c>
      <c r="C51" s="92" t="s">
        <v>136</v>
      </c>
      <c r="D51" s="116">
        <f t="shared" si="4"/>
        <v>3</v>
      </c>
      <c r="E51" s="196"/>
      <c r="F51" s="196"/>
      <c r="G51" s="196" t="s">
        <v>169</v>
      </c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 t="s">
        <v>169</v>
      </c>
      <c r="T51" s="196" t="s">
        <v>169</v>
      </c>
      <c r="U51" s="196"/>
      <c r="V51" s="196"/>
      <c r="W51" s="196"/>
      <c r="X51" s="196"/>
      <c r="Y51" s="196"/>
      <c r="Z51" s="196"/>
      <c r="AA51" s="115"/>
      <c r="AH51" s="91">
        <f t="shared" si="2"/>
        <v>3</v>
      </c>
      <c r="AI51" s="91" t="str">
        <f t="array" ref="AI51">IF(AH51="","",INDEX(B:B,SMALL(IF(D$1:D$100=AH51,ROW($1:$100)),COUNTIF(AH$4:AH51,AH51))))</f>
        <v>Irland</v>
      </c>
      <c r="AJ51" s="91" t="str">
        <f t="array" ref="AJ51">IF(AH51="","",INDEX(C:C,SMALL(IF(D$1:D$100=AH51,ROW($1:$100)),COUNTIF(AH$4:AH51,AH51))))</f>
        <v>E</v>
      </c>
    </row>
    <row r="52" spans="1:36" ht="15">
      <c r="A52" s="126">
        <f t="shared" si="3"/>
        <v>2</v>
      </c>
      <c r="B52" s="92" t="s">
        <v>161</v>
      </c>
      <c r="C52" s="92" t="s">
        <v>136</v>
      </c>
      <c r="D52" s="116">
        <f t="shared" si="4"/>
        <v>7</v>
      </c>
      <c r="E52" s="196"/>
      <c r="F52" s="197">
        <v>4</v>
      </c>
      <c r="G52" s="197"/>
      <c r="H52" s="197"/>
      <c r="I52" s="197">
        <v>3</v>
      </c>
      <c r="J52" s="196" t="s">
        <v>169</v>
      </c>
      <c r="K52" s="196"/>
      <c r="L52" s="196"/>
      <c r="M52" s="196"/>
      <c r="N52" s="196"/>
      <c r="O52" s="196" t="s">
        <v>343</v>
      </c>
      <c r="P52" s="196" t="s">
        <v>169</v>
      </c>
      <c r="Q52" s="196"/>
      <c r="R52" s="196" t="s">
        <v>169</v>
      </c>
      <c r="S52" s="196"/>
      <c r="T52" s="196" t="s">
        <v>169</v>
      </c>
      <c r="U52" s="196"/>
      <c r="V52" s="196"/>
      <c r="W52" s="196"/>
      <c r="X52" s="196"/>
      <c r="Y52" s="196"/>
      <c r="Z52" s="196"/>
      <c r="AA52" s="115"/>
      <c r="AH52" s="91">
        <f t="shared" si="2"/>
        <v>3</v>
      </c>
      <c r="AI52" s="91" t="str">
        <f t="array" ref="AI52">IF(AH52="","",INDEX(B:B,SMALL(IF(D$1:D$100=AH52,ROW($1:$100)),COUNTIF(AH$4:AH52,AH52))))</f>
        <v>Nordirland</v>
      </c>
      <c r="AJ52" s="91" t="str">
        <f t="array" ref="AJ52">IF(AH52="","",INDEX(C:C,SMALL(IF(D$1:D$100=AH52,ROW($1:$100)),COUNTIF(AH$4:AH52,AH52))))</f>
        <v>E</v>
      </c>
    </row>
    <row r="53" spans="1:36" ht="15">
      <c r="A53" s="126">
        <f t="shared" si="3"/>
        <v>0</v>
      </c>
      <c r="B53" s="92" t="s">
        <v>34</v>
      </c>
      <c r="C53" s="92" t="s">
        <v>278</v>
      </c>
      <c r="D53" s="116">
        <f t="shared" si="4"/>
        <v>8</v>
      </c>
      <c r="E53" s="196" t="s">
        <v>169</v>
      </c>
      <c r="F53" s="196"/>
      <c r="G53" s="196"/>
      <c r="H53" s="196" t="s">
        <v>169</v>
      </c>
      <c r="I53" s="196"/>
      <c r="J53" s="196" t="s">
        <v>169</v>
      </c>
      <c r="K53" s="196"/>
      <c r="L53" s="196"/>
      <c r="M53" s="196"/>
      <c r="N53" s="196"/>
      <c r="O53" s="196"/>
      <c r="P53" s="196"/>
      <c r="Q53" s="196" t="s">
        <v>169</v>
      </c>
      <c r="R53" s="196"/>
      <c r="S53" s="196"/>
      <c r="T53" s="196" t="s">
        <v>169</v>
      </c>
      <c r="U53" s="196" t="s">
        <v>169</v>
      </c>
      <c r="V53" s="196" t="s">
        <v>169</v>
      </c>
      <c r="W53" s="196" t="s">
        <v>340</v>
      </c>
      <c r="X53" s="196"/>
      <c r="Y53" s="196"/>
      <c r="Z53" s="196"/>
      <c r="AA53" s="115"/>
      <c r="AH53" s="91">
        <f t="shared" si="2"/>
        <v>3</v>
      </c>
      <c r="AI53" s="91" t="str">
        <f t="array" ref="AI53">IF(AH53="","",INDEX(B:B,SMALL(IF(D$1:D$100=AH53,ROW($1:$100)),COUNTIF(AH$4:AH53,AH53))))</f>
        <v>Norwegen</v>
      </c>
      <c r="AJ53" s="91" t="str">
        <f t="array" ref="AJ53">IF(AH53="","",INDEX(C:C,SMALL(IF(D$1:D$100=AH53,ROW($1:$100)),COUNTIF(AH$4:AH53,AH53))))</f>
        <v>E</v>
      </c>
    </row>
    <row r="54" spans="1:36" ht="15">
      <c r="A54" s="126">
        <f t="shared" si="3"/>
        <v>0</v>
      </c>
      <c r="B54" s="92" t="s">
        <v>171</v>
      </c>
      <c r="C54" s="92" t="s">
        <v>278</v>
      </c>
      <c r="D54" s="116">
        <f t="shared" si="4"/>
        <v>4</v>
      </c>
      <c r="E54" s="196" t="s">
        <v>169</v>
      </c>
      <c r="F54" s="196"/>
      <c r="G54" s="196"/>
      <c r="H54" s="196"/>
      <c r="I54" s="196"/>
      <c r="J54" s="196"/>
      <c r="K54" s="196"/>
      <c r="L54" s="196"/>
      <c r="M54" s="196" t="s">
        <v>340</v>
      </c>
      <c r="N54" s="196"/>
      <c r="O54" s="196" t="s">
        <v>343</v>
      </c>
      <c r="P54" s="196" t="s">
        <v>169</v>
      </c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15"/>
      <c r="AH54" s="91">
        <f t="shared" si="2"/>
        <v>3</v>
      </c>
      <c r="AI54" s="91" t="str">
        <f t="array" ref="AI54">IF(AH54="","",INDEX(B:B,SMALL(IF(D$1:D$100=AH54,ROW($1:$100)),COUNTIF(AH$4:AH54,AH54))))</f>
        <v>Südafrika</v>
      </c>
      <c r="AJ54" s="91" t="str">
        <f t="array" ref="AJ54">IF(AH54="","",INDEX(C:C,SMALL(IF(D$1:D$100=AH54,ROW($1:$100)),COUNTIF(AH$4:AH54,AH54))))</f>
        <v>A</v>
      </c>
    </row>
    <row r="55" spans="1:36" ht="15">
      <c r="A55" s="126">
        <f t="shared" si="3"/>
        <v>2</v>
      </c>
      <c r="B55" s="92" t="s">
        <v>31</v>
      </c>
      <c r="C55" s="92" t="s">
        <v>136</v>
      </c>
      <c r="D55" s="116">
        <f t="shared" si="4"/>
        <v>7</v>
      </c>
      <c r="E55" s="196"/>
      <c r="F55" s="196"/>
      <c r="G55" s="196" t="s">
        <v>169</v>
      </c>
      <c r="H55" s="196"/>
      <c r="I55" s="196"/>
      <c r="J55" s="196"/>
      <c r="K55" s="196"/>
      <c r="L55" s="196"/>
      <c r="M55" s="196"/>
      <c r="N55" s="197">
        <v>3</v>
      </c>
      <c r="O55" s="196" t="s">
        <v>343</v>
      </c>
      <c r="P55" s="197">
        <v>3</v>
      </c>
      <c r="Q55" s="196" t="s">
        <v>169</v>
      </c>
      <c r="R55" s="196"/>
      <c r="S55" s="196"/>
      <c r="T55" s="196"/>
      <c r="U55" s="196" t="s">
        <v>169</v>
      </c>
      <c r="V55" s="196" t="s">
        <v>169</v>
      </c>
      <c r="W55" s="196"/>
      <c r="X55" s="196"/>
      <c r="Y55" s="196"/>
      <c r="Z55" s="196"/>
      <c r="AA55" s="115"/>
      <c r="AH55" s="91">
        <f t="shared" si="2"/>
        <v>2</v>
      </c>
      <c r="AI55" s="91" t="str">
        <f t="array" ref="AI55">IF(AH55="","",INDEX(B:B,SMALL(IF(D$1:D$100=AH55,ROW($1:$100)),COUNTIF(AH$4:AH55,AH55))))</f>
        <v>Ägypten</v>
      </c>
      <c r="AJ55" s="91" t="str">
        <f t="array" ref="AJ55">IF(AH55="","",INDEX(C:C,SMALL(IF(D$1:D$100=AH55,ROW($1:$100)),COUNTIF(AH$4:AH55,AH55))))</f>
        <v>A</v>
      </c>
    </row>
    <row r="56" spans="1:36" ht="15">
      <c r="A56" s="126">
        <f t="shared" si="3"/>
        <v>2</v>
      </c>
      <c r="B56" s="92" t="s">
        <v>41</v>
      </c>
      <c r="C56" s="92" t="s">
        <v>136</v>
      </c>
      <c r="D56" s="116">
        <f t="shared" si="4"/>
        <v>6</v>
      </c>
      <c r="E56" s="196"/>
      <c r="F56" s="196"/>
      <c r="G56" s="196"/>
      <c r="H56" s="196"/>
      <c r="I56" s="196"/>
      <c r="J56" s="196"/>
      <c r="K56" s="196"/>
      <c r="L56" s="197">
        <v>3</v>
      </c>
      <c r="M56" s="196"/>
      <c r="N56" s="196"/>
      <c r="O56" s="196"/>
      <c r="P56" s="196"/>
      <c r="Q56" s="196" t="s">
        <v>169</v>
      </c>
      <c r="R56" s="196"/>
      <c r="S56" s="196"/>
      <c r="T56" s="196"/>
      <c r="U56" s="196" t="s">
        <v>169</v>
      </c>
      <c r="V56" s="197">
        <v>4</v>
      </c>
      <c r="W56" s="196" t="s">
        <v>169</v>
      </c>
      <c r="X56" s="196" t="s">
        <v>169</v>
      </c>
      <c r="Y56" s="196"/>
      <c r="Z56" s="196"/>
      <c r="AA56" s="115"/>
      <c r="AH56" s="91">
        <f t="shared" si="2"/>
        <v>2</v>
      </c>
      <c r="AI56" s="91" t="str">
        <f t="array" ref="AI56">IF(AH56="","",INDEX(B:B,SMALL(IF(D$1:D$100=AH56,ROW($1:$100)),COUNTIF(AH$4:AH56,AH56))))</f>
        <v>El SalVador</v>
      </c>
      <c r="AJ56" s="91" t="str">
        <f t="array" ref="AJ56">IF(AH56="","",INDEX(C:C,SMALL(IF(D$1:D$100=AH56,ROW($1:$100)),COUNTIF(AH$4:AH56,AH56))))</f>
        <v>NA</v>
      </c>
    </row>
    <row r="57" spans="1:36" ht="15">
      <c r="A57" s="126">
        <f t="shared" si="3"/>
        <v>0</v>
      </c>
      <c r="B57" s="92" t="s">
        <v>172</v>
      </c>
      <c r="C57" s="92" t="s">
        <v>136</v>
      </c>
      <c r="D57" s="116">
        <f t="shared" si="4"/>
        <v>7</v>
      </c>
      <c r="E57" s="196" t="s">
        <v>169</v>
      </c>
      <c r="F57" s="196" t="s">
        <v>169</v>
      </c>
      <c r="G57" s="196" t="s">
        <v>169</v>
      </c>
      <c r="H57" s="196"/>
      <c r="I57" s="196"/>
      <c r="J57" s="196"/>
      <c r="K57" s="196"/>
      <c r="L57" s="196"/>
      <c r="M57" s="196" t="s">
        <v>169</v>
      </c>
      <c r="N57" s="196"/>
      <c r="O57" s="196"/>
      <c r="P57" s="196"/>
      <c r="Q57" s="196"/>
      <c r="R57" s="196" t="s">
        <v>169</v>
      </c>
      <c r="S57" s="196" t="s">
        <v>340</v>
      </c>
      <c r="T57" s="196" t="s">
        <v>169</v>
      </c>
      <c r="U57" s="196"/>
      <c r="V57" s="196"/>
      <c r="W57" s="196"/>
      <c r="X57" s="196"/>
      <c r="Y57" s="196"/>
      <c r="Z57" s="196"/>
      <c r="AA57" s="115"/>
      <c r="AH57" s="91">
        <f t="shared" si="2"/>
        <v>2</v>
      </c>
      <c r="AI57" s="91" t="str">
        <f t="array" ref="AI57">IF(AH57="","",INDEX(B:B,SMALL(IF(D$1:D$100=AH57,ROW($1:$100)),COUNTIF(AH$4:AH57,AH57))))</f>
        <v>Neuseeland</v>
      </c>
      <c r="AJ57" s="91" t="str">
        <f t="array" ref="AJ57">IF(AH57="","",INDEX(C:C,SMALL(IF(D$1:D$100=AH57,ROW($1:$100)),COUNTIF(AH$4:AH57,AH57))))</f>
        <v>SS</v>
      </c>
    </row>
    <row r="58" spans="1:36" ht="15">
      <c r="A58" s="126">
        <f t="shared" si="3"/>
        <v>1</v>
      </c>
      <c r="B58" s="92" t="s">
        <v>211</v>
      </c>
      <c r="C58" s="92" t="s">
        <v>136</v>
      </c>
      <c r="D58" s="116">
        <f t="shared" si="4"/>
        <v>10</v>
      </c>
      <c r="E58" s="196"/>
      <c r="F58" s="196"/>
      <c r="G58" s="196"/>
      <c r="H58" s="196"/>
      <c r="I58" s="196"/>
      <c r="J58" s="196" t="s">
        <v>340</v>
      </c>
      <c r="K58" s="196" t="s">
        <v>340</v>
      </c>
      <c r="L58" s="197">
        <v>4</v>
      </c>
      <c r="M58" s="196" t="s">
        <v>340</v>
      </c>
      <c r="N58" s="196"/>
      <c r="O58" s="196"/>
      <c r="P58" s="196" t="s">
        <v>169</v>
      </c>
      <c r="Q58" s="196" t="s">
        <v>169</v>
      </c>
      <c r="R58" s="196" t="s">
        <v>169</v>
      </c>
      <c r="S58" s="196" t="s">
        <v>169</v>
      </c>
      <c r="T58" s="196"/>
      <c r="U58" s="196" t="s">
        <v>169</v>
      </c>
      <c r="V58" s="196"/>
      <c r="W58" s="196"/>
      <c r="X58" s="196" t="s">
        <v>169</v>
      </c>
      <c r="Y58" s="196"/>
      <c r="Z58" s="196"/>
      <c r="AA58" s="115"/>
      <c r="AH58" s="91">
        <f t="shared" si="2"/>
        <v>2</v>
      </c>
      <c r="AI58" s="91" t="str">
        <f t="array" ref="AI58">IF(AH58="","",INDEX(B:B,SMALL(IF(D$1:D$100=AH58,ROW($1:$100)),COUNTIF(AH$4:AH58,AH58))))</f>
        <v>Nordkorea</v>
      </c>
      <c r="AJ58" s="91" t="str">
        <f t="array" ref="AJ58">IF(AH58="","",INDEX(C:C,SMALL(IF(D$1:D$100=AH58,ROW($1:$100)),COUNTIF(AH$4:AH58,AH58))))</f>
        <v>AS</v>
      </c>
    </row>
    <row r="59" spans="1:36" ht="15">
      <c r="A59" s="126">
        <f t="shared" si="3"/>
        <v>0</v>
      </c>
      <c r="B59" s="92" t="s">
        <v>415</v>
      </c>
      <c r="C59" s="92" t="s">
        <v>352</v>
      </c>
      <c r="D59" s="116">
        <f t="shared" si="4"/>
        <v>4</v>
      </c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 t="s">
        <v>169</v>
      </c>
      <c r="T59" s="196" t="s">
        <v>169</v>
      </c>
      <c r="U59" s="196" t="s">
        <v>169</v>
      </c>
      <c r="V59" s="196" t="s">
        <v>169</v>
      </c>
      <c r="W59" s="196"/>
      <c r="X59" s="196"/>
      <c r="Y59" s="196"/>
      <c r="Z59" s="196"/>
      <c r="AA59" s="115"/>
      <c r="AH59" s="91">
        <f t="shared" si="2"/>
        <v>2</v>
      </c>
      <c r="AI59" s="91" t="str">
        <f t="array" ref="AI59">IF(AH59="","",INDEX(B:B,SMALL(IF(D$1:D$100=AH59,ROW($1:$100)),COUNTIF(AH$4:AH59,AH59))))</f>
        <v>Slowenien</v>
      </c>
      <c r="AJ59" s="91" t="str">
        <f t="array" ref="AJ59">IF(AH59="","",INDEX(C:C,SMALL(IF(D$1:D$100=AH59,ROW($1:$100)),COUNTIF(AH$4:AH59,AH59))))</f>
        <v>E</v>
      </c>
    </row>
    <row r="60" spans="1:36" ht="15">
      <c r="A60" s="126">
        <f t="shared" si="3"/>
        <v>0</v>
      </c>
      <c r="B60" s="92" t="s">
        <v>177</v>
      </c>
      <c r="C60" s="92" t="s">
        <v>136</v>
      </c>
      <c r="D60" s="116">
        <f t="shared" si="4"/>
        <v>8</v>
      </c>
      <c r="E60" s="196"/>
      <c r="F60" s="196"/>
      <c r="G60" s="196"/>
      <c r="H60" s="196"/>
      <c r="I60" s="196" t="s">
        <v>169</v>
      </c>
      <c r="J60" s="196" t="s">
        <v>169</v>
      </c>
      <c r="K60" s="196"/>
      <c r="L60" s="196"/>
      <c r="M60" s="196"/>
      <c r="N60" s="196" t="s">
        <v>169</v>
      </c>
      <c r="O60" s="196" t="s">
        <v>169</v>
      </c>
      <c r="P60" s="196" t="s">
        <v>169</v>
      </c>
      <c r="Q60" s="196" t="s">
        <v>169</v>
      </c>
      <c r="R60" s="196" t="s">
        <v>169</v>
      </c>
      <c r="S60" s="196"/>
      <c r="T60" s="196" t="s">
        <v>169</v>
      </c>
      <c r="U60" s="196"/>
      <c r="V60" s="196"/>
      <c r="W60" s="196"/>
      <c r="X60" s="196"/>
      <c r="Y60" s="196"/>
      <c r="Z60" s="196"/>
      <c r="AA60" s="115"/>
      <c r="AH60" s="91">
        <f t="shared" si="2"/>
        <v>2</v>
      </c>
      <c r="AI60" s="91" t="str">
        <f t="array" ref="AI60">IF(AH60="","",INDEX(B:B,SMALL(IF(D$1:D$100=AH60,ROW($1:$100)),COUNTIF(AH$4:AH60,AH60))))</f>
        <v>Türkei</v>
      </c>
      <c r="AJ60" s="91" t="str">
        <f t="array" ref="AJ60">IF(AH60="","",INDEX(C:C,SMALL(IF(D$1:D$100=AH60,ROW($1:$100)),COUNTIF(AH$4:AH60,AH60))))</f>
        <v>E</v>
      </c>
    </row>
    <row r="61" spans="1:36" ht="15">
      <c r="A61" s="126">
        <f t="shared" si="3"/>
        <v>4</v>
      </c>
      <c r="B61" s="92" t="s">
        <v>35</v>
      </c>
      <c r="C61" s="92" t="s">
        <v>136</v>
      </c>
      <c r="D61" s="116">
        <f t="shared" si="4"/>
        <v>11</v>
      </c>
      <c r="E61" s="196"/>
      <c r="F61" s="196" t="s">
        <v>340</v>
      </c>
      <c r="G61" s="197">
        <v>4</v>
      </c>
      <c r="H61" s="197">
        <v>3</v>
      </c>
      <c r="I61" s="196"/>
      <c r="J61" s="197">
        <v>2</v>
      </c>
      <c r="K61" s="196"/>
      <c r="L61" s="196"/>
      <c r="M61" s="196" t="s">
        <v>169</v>
      </c>
      <c r="N61" s="196" t="s">
        <v>343</v>
      </c>
      <c r="O61" s="196" t="s">
        <v>169</v>
      </c>
      <c r="P61" s="196"/>
      <c r="Q61" s="196"/>
      <c r="R61" s="196" t="s">
        <v>169</v>
      </c>
      <c r="S61" s="197">
        <v>3</v>
      </c>
      <c r="T61" s="196"/>
      <c r="U61" s="196" t="s">
        <v>169</v>
      </c>
      <c r="V61" s="196" t="s">
        <v>169</v>
      </c>
      <c r="W61" s="196"/>
      <c r="X61" s="196"/>
      <c r="Y61" s="196"/>
      <c r="Z61" s="196"/>
      <c r="AA61" s="115"/>
      <c r="AH61" s="91">
        <f t="shared" si="2"/>
        <v>1</v>
      </c>
      <c r="AI61" s="91" t="str">
        <f t="array" ref="AI61">IF(AH61="","",INDEX(B:B,SMALL(IF(D$1:D$100=AH61,ROW($1:$100)),COUNTIF(AH$4:AH61,AH61))))</f>
        <v>Angola</v>
      </c>
      <c r="AJ61" s="91" t="str">
        <f t="array" ref="AJ61">IF(AH61="","",INDEX(C:C,SMALL(IF(D$1:D$100=AH61,ROW($1:$100)),COUNTIF(AH$4:AH61,AH61))))</f>
        <v>A</v>
      </c>
    </row>
    <row r="62" spans="1:36" ht="15">
      <c r="A62" s="126">
        <f t="shared" si="3"/>
        <v>0</v>
      </c>
      <c r="B62" s="92" t="s">
        <v>49</v>
      </c>
      <c r="C62" s="92" t="s">
        <v>136</v>
      </c>
      <c r="D62" s="116">
        <f t="shared" si="4"/>
        <v>11</v>
      </c>
      <c r="E62" s="196"/>
      <c r="F62" s="196" t="s">
        <v>340</v>
      </c>
      <c r="G62" s="196" t="s">
        <v>340</v>
      </c>
      <c r="H62" s="196" t="s">
        <v>169</v>
      </c>
      <c r="I62" s="196" t="s">
        <v>340</v>
      </c>
      <c r="J62" s="196"/>
      <c r="K62" s="196" t="s">
        <v>169</v>
      </c>
      <c r="L62" s="196" t="s">
        <v>169</v>
      </c>
      <c r="M62" s="196"/>
      <c r="N62" s="196"/>
      <c r="O62" s="196"/>
      <c r="P62" s="196"/>
      <c r="Q62" s="196"/>
      <c r="R62" s="196"/>
      <c r="S62" s="196" t="s">
        <v>169</v>
      </c>
      <c r="T62" s="196" t="s">
        <v>169</v>
      </c>
      <c r="U62" s="196"/>
      <c r="V62" s="196" t="s">
        <v>169</v>
      </c>
      <c r="W62" s="196" t="s">
        <v>169</v>
      </c>
      <c r="X62" s="196" t="s">
        <v>169</v>
      </c>
      <c r="Y62" s="196"/>
      <c r="Z62" s="196"/>
      <c r="AA62" s="115"/>
      <c r="AH62" s="91">
        <f t="shared" si="2"/>
        <v>1</v>
      </c>
      <c r="AI62" s="91" t="str">
        <f t="array" ref="AI62">IF(AH62="","",INDEX(B:B,SMALL(IF(D$1:D$100=AH62,ROW($1:$100)),COUNTIF(AH$4:AH62,AH62))))</f>
        <v>Bosnien-H.</v>
      </c>
      <c r="AJ62" s="91" t="str">
        <f t="array" ref="AJ62">IF(AH62="","",INDEX(C:C,SMALL(IF(D$1:D$100=AH62,ROW($1:$100)),COUNTIF(AH$4:AH62,AH62))))</f>
        <v>E</v>
      </c>
    </row>
    <row r="63" spans="1:36" ht="15">
      <c r="A63" s="126">
        <f t="shared" si="3"/>
        <v>0</v>
      </c>
      <c r="B63" s="92" t="s">
        <v>191</v>
      </c>
      <c r="C63" s="92" t="s">
        <v>55</v>
      </c>
      <c r="D63" s="116">
        <f t="shared" si="4"/>
        <v>1</v>
      </c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 t="s">
        <v>340</v>
      </c>
      <c r="V63" s="196"/>
      <c r="W63" s="196"/>
      <c r="X63" s="196"/>
      <c r="Y63" s="196"/>
      <c r="Z63" s="196"/>
      <c r="AA63" s="115"/>
      <c r="AH63" s="91">
        <f t="shared" si="2"/>
        <v>1</v>
      </c>
      <c r="AI63" s="91" t="str">
        <f t="array" ref="AI63">IF(AH63="","",INDEX(B:B,SMALL(IF(D$1:D$100=AH63,ROW($1:$100)),COUNTIF(AH$4:AH63,AH63))))</f>
        <v>China</v>
      </c>
      <c r="AJ63" s="91" t="str">
        <f t="array" ref="AJ63">IF(AH63="","",INDEX(C:C,SMALL(IF(D$1:D$100=AH63,ROW($1:$100)),COUNTIF(AH$4:AH63,AH63))))</f>
        <v>AS</v>
      </c>
    </row>
    <row r="64" spans="1:36" ht="15">
      <c r="A64" s="126">
        <f t="shared" si="3"/>
        <v>2</v>
      </c>
      <c r="B64" s="92" t="s">
        <v>54</v>
      </c>
      <c r="C64" s="92" t="s">
        <v>136</v>
      </c>
      <c r="D64" s="116">
        <f t="shared" si="4"/>
        <v>11</v>
      </c>
      <c r="E64" s="197">
        <v>3</v>
      </c>
      <c r="F64" s="196"/>
      <c r="G64" s="196"/>
      <c r="H64" s="196" t="s">
        <v>169</v>
      </c>
      <c r="I64" s="196" t="s">
        <v>340</v>
      </c>
      <c r="J64" s="196" t="s">
        <v>340</v>
      </c>
      <c r="K64" s="197">
        <v>4</v>
      </c>
      <c r="L64" s="196"/>
      <c r="M64" s="196"/>
      <c r="N64" s="196" t="s">
        <v>343</v>
      </c>
      <c r="O64" s="196"/>
      <c r="P64" s="196" t="s">
        <v>169</v>
      </c>
      <c r="Q64" s="196"/>
      <c r="R64" s="196" t="s">
        <v>340</v>
      </c>
      <c r="S64" s="196"/>
      <c r="T64" s="196" t="s">
        <v>169</v>
      </c>
      <c r="U64" s="196"/>
      <c r="V64" s="196" t="s">
        <v>169</v>
      </c>
      <c r="W64" s="196" t="s">
        <v>169</v>
      </c>
      <c r="X64" s="196"/>
      <c r="Y64" s="196"/>
      <c r="Z64" s="196"/>
      <c r="AA64" s="115"/>
      <c r="AH64" s="91">
        <f t="shared" si="2"/>
        <v>1</v>
      </c>
      <c r="AI64" s="91" t="str">
        <f t="array" ref="AI64">IF(AH64="","",INDEX(B:B,SMALL(IF(D$1:D$100=AH64,ROW($1:$100)),COUNTIF(AH$4:AH64,AH64))))</f>
        <v>DDR</v>
      </c>
      <c r="AJ64" s="91" t="str">
        <f t="array" ref="AJ64">IF(AH64="","",INDEX(C:C,SMALL(IF(D$1:D$100=AH64,ROW($1:$100)),COUNTIF(AH$4:AH64,AH64))))</f>
        <v>E</v>
      </c>
    </row>
    <row r="65" spans="1:36" ht="15">
      <c r="A65" s="126">
        <f t="shared" si="3"/>
        <v>0</v>
      </c>
      <c r="B65" s="92" t="s">
        <v>65</v>
      </c>
      <c r="C65" s="92" t="s">
        <v>136</v>
      </c>
      <c r="D65" s="116">
        <f t="shared" si="4"/>
        <v>1</v>
      </c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 t="s">
        <v>169</v>
      </c>
      <c r="X65" s="196"/>
      <c r="Y65" s="196"/>
      <c r="Z65" s="196"/>
      <c r="AA65" s="115"/>
      <c r="AH65" s="91">
        <f t="shared" si="2"/>
        <v>1</v>
      </c>
      <c r="AI65" s="91" t="str">
        <f t="array" ref="AI65">IF(AH65="","",INDEX(B:B,SMALL(IF(D$1:D$100=AH65,ROW($1:$100)),COUNTIF(AH$4:AH65,AH65))))</f>
        <v>Haiti</v>
      </c>
      <c r="AJ65" s="91" t="str">
        <f t="array" ref="AJ65">IF(AH65="","",INDEX(C:C,SMALL(IF(D$1:D$100=AH65,ROW($1:$100)),COUNTIF(AH$4:AH65,AH65))))</f>
        <v>NA</v>
      </c>
    </row>
    <row r="66" spans="1:36" ht="15">
      <c r="A66" s="126">
        <f t="shared" si="3"/>
        <v>0</v>
      </c>
      <c r="B66" s="92" t="s">
        <v>71</v>
      </c>
      <c r="C66" s="92" t="s">
        <v>136</v>
      </c>
      <c r="D66" s="116">
        <f t="shared" si="4"/>
        <v>2</v>
      </c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 t="s">
        <v>169</v>
      </c>
      <c r="V66" s="196"/>
      <c r="W66" s="196" t="s">
        <v>169</v>
      </c>
      <c r="X66" s="196"/>
      <c r="Y66" s="196"/>
      <c r="Z66" s="196"/>
      <c r="AA66" s="115"/>
      <c r="AH66" s="91">
        <f t="shared" si="2"/>
        <v>1</v>
      </c>
      <c r="AI66" s="91" t="str">
        <f t="array" ref="AI66">IF(AH66="","",INDEX(B:B,SMALL(IF(D$1:D$100=AH66,ROW($1:$100)),COUNTIF(AH$4:AH66,AH66))))</f>
        <v>Indonesien</v>
      </c>
      <c r="AJ66" s="91" t="str">
        <f t="array" ref="AJ66">IF(AH66="","",INDEX(C:C,SMALL(IF(D$1:D$100=AH66,ROW($1:$100)),COUNTIF(AH$4:AH66,AH66))))</f>
        <v>AS</v>
      </c>
    </row>
    <row r="67" spans="1:36" ht="15">
      <c r="A67" s="126">
        <f t="shared" si="3"/>
        <v>2</v>
      </c>
      <c r="B67" s="92" t="s">
        <v>51</v>
      </c>
      <c r="C67" s="92" t="s">
        <v>136</v>
      </c>
      <c r="D67" s="116">
        <f t="shared" si="4"/>
        <v>13</v>
      </c>
      <c r="E67" s="196"/>
      <c r="F67" s="196" t="s">
        <v>340</v>
      </c>
      <c r="G67" s="196"/>
      <c r="H67" s="197">
        <v>4</v>
      </c>
      <c r="I67" s="196"/>
      <c r="J67" s="196"/>
      <c r="K67" s="196" t="s">
        <v>169</v>
      </c>
      <c r="L67" s="196" t="s">
        <v>169</v>
      </c>
      <c r="M67" s="196"/>
      <c r="N67" s="196"/>
      <c r="O67" s="196" t="s">
        <v>169</v>
      </c>
      <c r="P67" s="196" t="s">
        <v>169</v>
      </c>
      <c r="Q67" s="196" t="s">
        <v>340</v>
      </c>
      <c r="R67" s="196" t="s">
        <v>169</v>
      </c>
      <c r="S67" s="196" t="s">
        <v>340</v>
      </c>
      <c r="T67" s="196"/>
      <c r="U67" s="196" t="s">
        <v>340</v>
      </c>
      <c r="V67" s="196" t="s">
        <v>169</v>
      </c>
      <c r="W67" s="198">
        <v>1</v>
      </c>
      <c r="X67" s="196" t="s">
        <v>169</v>
      </c>
      <c r="Y67" s="196"/>
      <c r="Z67" s="196"/>
      <c r="AA67" s="115"/>
      <c r="AH67" s="91">
        <f t="shared" si="2"/>
        <v>1</v>
      </c>
      <c r="AI67" s="91" t="str">
        <f t="array" ref="AI67">IF(AH67="","",INDEX(B:B,SMALL(IF(D$1:D$100=AH67,ROW($1:$100)),COUNTIF(AH$4:AH67,AH67))))</f>
        <v>Irak</v>
      </c>
      <c r="AJ67" s="91" t="str">
        <f t="array" ref="AJ67">IF(AH67="","",INDEX(C:C,SMALL(IF(D$1:D$100=AH67,ROW($1:$100)),COUNTIF(AH$4:AH67,AH67))))</f>
        <v>AS</v>
      </c>
    </row>
    <row r="68" spans="1:36" ht="15">
      <c r="A68" s="126">
        <f t="shared" ref="A68:A80" si="5">SUM(COUNTIF(E68:Z68,"&lt;5"))</f>
        <v>0</v>
      </c>
      <c r="B68" s="92" t="s">
        <v>61</v>
      </c>
      <c r="C68" s="92" t="s">
        <v>55</v>
      </c>
      <c r="D68" s="116">
        <f t="shared" ref="D68:D80" si="6">COUNTA(E68:Y68)</f>
        <v>3</v>
      </c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 t="s">
        <v>169</v>
      </c>
      <c r="U68" s="196" t="s">
        <v>169</v>
      </c>
      <c r="V68" s="196"/>
      <c r="W68" s="196" t="s">
        <v>169</v>
      </c>
      <c r="X68" s="196"/>
      <c r="Y68" s="196"/>
      <c r="Z68" s="196"/>
      <c r="AA68" s="115"/>
      <c r="AH68" s="91">
        <f t="shared" si="2"/>
        <v>1</v>
      </c>
      <c r="AI68" s="91" t="str">
        <f t="array" ref="AI68">IF(AH68="","",INDEX(B:B,SMALL(IF(D$1:D$100=AH68,ROW($1:$100)),COUNTIF(AH$4:AH68,AH68))))</f>
        <v>Israel</v>
      </c>
      <c r="AJ68" s="91" t="str">
        <f t="array" ref="AJ68">IF(AH68="","",INDEX(C:C,SMALL(IF(D$1:D$100=AH68,ROW($1:$100)),COUNTIF(AH$4:AH68,AH68))))</f>
        <v>AS</v>
      </c>
    </row>
    <row r="69" spans="1:36" ht="15">
      <c r="A69" s="126">
        <f t="shared" si="5"/>
        <v>1</v>
      </c>
      <c r="B69" s="92" t="s">
        <v>60</v>
      </c>
      <c r="C69" s="92" t="s">
        <v>352</v>
      </c>
      <c r="D69" s="116">
        <f t="shared" si="6"/>
        <v>9</v>
      </c>
      <c r="E69" s="196"/>
      <c r="F69" s="196"/>
      <c r="G69" s="196"/>
      <c r="H69" s="196"/>
      <c r="I69" s="196" t="s">
        <v>169</v>
      </c>
      <c r="J69" s="196"/>
      <c r="K69" s="196"/>
      <c r="L69" s="196"/>
      <c r="M69" s="196"/>
      <c r="N69" s="196"/>
      <c r="O69" s="196"/>
      <c r="P69" s="196"/>
      <c r="Q69" s="196" t="s">
        <v>169</v>
      </c>
      <c r="R69" s="196" t="s">
        <v>169</v>
      </c>
      <c r="S69" s="196" t="s">
        <v>169</v>
      </c>
      <c r="T69" s="196" t="s">
        <v>169</v>
      </c>
      <c r="U69" s="197">
        <v>4</v>
      </c>
      <c r="V69" s="196" t="s">
        <v>169</v>
      </c>
      <c r="W69" s="196" t="s">
        <v>169</v>
      </c>
      <c r="X69" s="196" t="s">
        <v>169</v>
      </c>
      <c r="Y69" s="196"/>
      <c r="Z69" s="196"/>
      <c r="AA69" s="115"/>
      <c r="AH69" s="91">
        <f t="shared" ref="AH69:AH82" si="7">IF(ROW(A66)&gt;B$3,"",LARGE(D:D,ROW(A66)))</f>
        <v>1</v>
      </c>
      <c r="AI69" s="91" t="str">
        <f t="array" ref="AI69">IF(AH69="","",INDEX(B:B,SMALL(IF(D$1:D$100=AH69,ROW($1:$100)),COUNTIF(AH$4:AH69,AH69))))</f>
        <v>Jamaika</v>
      </c>
      <c r="AJ69" s="91" t="str">
        <f t="array" ref="AJ69">IF(AH69="","",INDEX(C:C,SMALL(IF(D$1:D$100=AH69,ROW($1:$100)),COUNTIF(AH$4:AH69,AH69))))</f>
        <v>NA</v>
      </c>
    </row>
    <row r="70" spans="1:36" ht="15">
      <c r="A70" s="126">
        <f t="shared" si="5"/>
        <v>0</v>
      </c>
      <c r="B70" s="92" t="s">
        <v>50</v>
      </c>
      <c r="C70" s="92" t="s">
        <v>55</v>
      </c>
      <c r="D70" s="116">
        <f t="shared" si="6"/>
        <v>1</v>
      </c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 t="s">
        <v>169</v>
      </c>
      <c r="W70" s="196"/>
      <c r="X70" s="196"/>
      <c r="Y70" s="196"/>
      <c r="Z70" s="196"/>
      <c r="AA70" s="115"/>
      <c r="AH70" s="91">
        <f t="shared" si="7"/>
        <v>1</v>
      </c>
      <c r="AI70" s="91" t="str">
        <f t="array" ref="AI70">IF(AH70="","",INDEX(B:B,SMALL(IF(D$1:D$100=AH70,ROW($1:$100)),COUNTIF(AH$4:AH70,AH70))))</f>
        <v>Kanada</v>
      </c>
      <c r="AJ70" s="91" t="str">
        <f t="array" ref="AJ70">IF(AH70="","",INDEX(C:C,SMALL(IF(D$1:D$100=AH70,ROW($1:$100)),COUNTIF(AH$4:AH70,AH70))))</f>
        <v>NA</v>
      </c>
    </row>
    <row r="71" spans="1:36" ht="15">
      <c r="A71" s="126">
        <f t="shared" si="5"/>
        <v>0</v>
      </c>
      <c r="B71" s="92" t="s">
        <v>193</v>
      </c>
      <c r="C71" s="92" t="s">
        <v>279</v>
      </c>
      <c r="D71" s="116">
        <f t="shared" si="6"/>
        <v>1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 t="s">
        <v>169</v>
      </c>
      <c r="W71" s="196"/>
      <c r="X71" s="196"/>
      <c r="Y71" s="196"/>
      <c r="Z71" s="196"/>
      <c r="AA71" s="115"/>
      <c r="AH71" s="91">
        <f t="shared" si="7"/>
        <v>1</v>
      </c>
      <c r="AI71" s="91" t="str">
        <f t="array" ref="AI71">IF(AH71="","",INDEX(B:B,SMALL(IF(D$1:D$100=AH71,ROW($1:$100)),COUNTIF(AH$4:AH71,AH71))))</f>
        <v>Kongo</v>
      </c>
      <c r="AJ71" s="91" t="str">
        <f t="array" ref="AJ71">IF(AH71="","",INDEX(C:C,SMALL(IF(D$1:D$100=AH71,ROW($1:$100)),COUNTIF(AH$4:AH71,AH71))))</f>
        <v>A</v>
      </c>
    </row>
    <row r="72" spans="1:36" ht="15">
      <c r="A72" s="126">
        <f t="shared" si="5"/>
        <v>2</v>
      </c>
      <c r="B72" s="92" t="s">
        <v>164</v>
      </c>
      <c r="C72" s="92" t="s">
        <v>136</v>
      </c>
      <c r="D72" s="116">
        <f t="shared" si="6"/>
        <v>9</v>
      </c>
      <c r="E72" s="196"/>
      <c r="F72" s="197">
        <v>2</v>
      </c>
      <c r="G72" s="196" t="s">
        <v>340</v>
      </c>
      <c r="H72" s="196"/>
      <c r="I72" s="196" t="s">
        <v>169</v>
      </c>
      <c r="J72" s="196" t="s">
        <v>169</v>
      </c>
      <c r="K72" s="197">
        <v>2</v>
      </c>
      <c r="L72" s="196"/>
      <c r="M72" s="196" t="s">
        <v>169</v>
      </c>
      <c r="N72" s="196"/>
      <c r="O72" s="196"/>
      <c r="P72" s="196" t="s">
        <v>169</v>
      </c>
      <c r="Q72" s="196"/>
      <c r="R72" s="196" t="s">
        <v>340</v>
      </c>
      <c r="S72" s="196"/>
      <c r="T72" s="196"/>
      <c r="U72" s="196"/>
      <c r="V72" s="196" t="s">
        <v>169</v>
      </c>
      <c r="W72" s="196"/>
      <c r="X72" s="196"/>
      <c r="Y72" s="196"/>
      <c r="Z72" s="196"/>
      <c r="AA72" s="115"/>
      <c r="AH72" s="91">
        <f t="shared" si="7"/>
        <v>1</v>
      </c>
      <c r="AI72" s="91" t="str">
        <f t="array" ref="AI72">IF(AH72="","",INDEX(B:B,SMALL(IF(D$1:D$100=AH72,ROW($1:$100)),COUNTIF(AH$4:AH72,AH72))))</f>
        <v>Kuba</v>
      </c>
      <c r="AJ72" s="91" t="str">
        <f t="array" ref="AJ72">IF(AH72="","",INDEX(C:C,SMALL(IF(D$1:D$100=AH72,ROW($1:$100)),COUNTIF(AH$4:AH72,AH72))))</f>
        <v>NA</v>
      </c>
    </row>
    <row r="73" spans="1:36" ht="15">
      <c r="A73" s="126">
        <f t="shared" si="5"/>
        <v>0</v>
      </c>
      <c r="B73" s="92" t="s">
        <v>53</v>
      </c>
      <c r="C73" s="92" t="s">
        <v>55</v>
      </c>
      <c r="D73" s="116">
        <f t="shared" si="6"/>
        <v>4</v>
      </c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 t="s">
        <v>169</v>
      </c>
      <c r="P73" s="196"/>
      <c r="Q73" s="196"/>
      <c r="R73" s="196"/>
      <c r="S73" s="196"/>
      <c r="T73" s="196" t="s">
        <v>169</v>
      </c>
      <c r="U73" s="196" t="s">
        <v>169</v>
      </c>
      <c r="V73" s="196" t="s">
        <v>169</v>
      </c>
      <c r="W73" s="196"/>
      <c r="X73" s="196"/>
      <c r="Y73" s="196"/>
      <c r="Z73" s="196"/>
      <c r="AA73" s="115"/>
      <c r="AH73" s="91">
        <f t="shared" si="7"/>
        <v>1</v>
      </c>
      <c r="AI73" s="91" t="str">
        <f t="array" ref="AI73">IF(AH73="","",INDEX(B:B,SMALL(IF(D$1:D$100=AH73,ROW($1:$100)),COUNTIF(AH$4:AH73,AH73))))</f>
        <v>Kuwait</v>
      </c>
      <c r="AJ73" s="91" t="str">
        <f t="array" ref="AJ73">IF(AH73="","",INDEX(C:C,SMALL(IF(D$1:D$100=AH73,ROW($1:$100)),COUNTIF(AH$4:AH73,AH73))))</f>
        <v>AS</v>
      </c>
    </row>
    <row r="74" spans="1:36" ht="15">
      <c r="A74" s="126">
        <f t="shared" si="5"/>
        <v>1</v>
      </c>
      <c r="B74" s="92" t="s">
        <v>151</v>
      </c>
      <c r="C74" s="92" t="s">
        <v>136</v>
      </c>
      <c r="D74" s="116">
        <f t="shared" si="6"/>
        <v>2</v>
      </c>
      <c r="E74" s="196"/>
      <c r="F74" s="196"/>
      <c r="G74" s="196"/>
      <c r="H74" s="196"/>
      <c r="I74" s="196" t="s">
        <v>169</v>
      </c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7">
        <v>3</v>
      </c>
      <c r="V74" s="196"/>
      <c r="W74" s="196"/>
      <c r="X74" s="196"/>
      <c r="Y74" s="196"/>
      <c r="Z74" s="196"/>
      <c r="AA74" s="115"/>
      <c r="AH74" s="91">
        <f t="shared" si="7"/>
        <v>1</v>
      </c>
      <c r="AI74" s="91" t="str">
        <f t="array" ref="AI74">IF(AH74="","",INDEX(B:B,SMALL(IF(D$1:D$100=AH74,ROW($1:$100)),COUNTIF(AH$4:AH74,AH74))))</f>
        <v>Senegal</v>
      </c>
      <c r="AJ74" s="91" t="str">
        <f t="array" ref="AJ74">IF(AH74="","",INDEX(C:C,SMALL(IF(D$1:D$100=AH74,ROW($1:$100)),COUNTIF(AH$4:AH74,AH74))))</f>
        <v>A</v>
      </c>
    </row>
    <row r="75" spans="1:36" ht="15">
      <c r="A75" s="126">
        <f t="shared" si="5"/>
        <v>0</v>
      </c>
      <c r="B75" s="92" t="s">
        <v>52</v>
      </c>
      <c r="C75" s="92" t="s">
        <v>136</v>
      </c>
      <c r="D75" s="116">
        <f t="shared" si="6"/>
        <v>1</v>
      </c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 t="s">
        <v>340</v>
      </c>
      <c r="W75" s="196"/>
      <c r="X75" s="196"/>
      <c r="Y75" s="196"/>
      <c r="Z75" s="196"/>
      <c r="AA75" s="115"/>
      <c r="AH75" s="91">
        <f t="shared" si="7"/>
        <v>1</v>
      </c>
      <c r="AI75" s="91" t="str">
        <f t="array" ref="AI75">IF(AH75="","",INDEX(B:B,SMALL(IF(D$1:D$100=AH75,ROW($1:$100)),COUNTIF(AH$4:AH75,AH75))))</f>
        <v>Slowakei</v>
      </c>
      <c r="AJ75" s="91" t="str">
        <f t="array" ref="AJ75">IF(AH75="","",INDEX(C:C,SMALL(IF(D$1:D$100=AH75,ROW($1:$100)),COUNTIF(AH$4:AH75,AH75))))</f>
        <v>E</v>
      </c>
    </row>
    <row r="76" spans="1:36" ht="15">
      <c r="A76" s="126">
        <f t="shared" si="5"/>
        <v>2</v>
      </c>
      <c r="B76" s="92" t="s">
        <v>145</v>
      </c>
      <c r="C76" s="92" t="s">
        <v>136</v>
      </c>
      <c r="D76" s="116">
        <f t="shared" si="6"/>
        <v>9</v>
      </c>
      <c r="E76" s="196"/>
      <c r="F76" s="196" t="s">
        <v>340</v>
      </c>
      <c r="G76" s="197">
        <v>2</v>
      </c>
      <c r="H76" s="196"/>
      <c r="I76" s="197">
        <v>2</v>
      </c>
      <c r="J76" s="196" t="s">
        <v>169</v>
      </c>
      <c r="K76" s="196" t="s">
        <v>340</v>
      </c>
      <c r="L76" s="196" t="s">
        <v>340</v>
      </c>
      <c r="M76" s="196"/>
      <c r="N76" s="196"/>
      <c r="O76" s="196" t="s">
        <v>169</v>
      </c>
      <c r="P76" s="196" t="s">
        <v>169</v>
      </c>
      <c r="Q76" s="196" t="s">
        <v>169</v>
      </c>
      <c r="R76" s="196"/>
      <c r="S76" s="196"/>
      <c r="T76" s="196"/>
      <c r="U76" s="196"/>
      <c r="V76" s="196"/>
      <c r="W76" s="196"/>
      <c r="X76" s="196"/>
      <c r="Y76" s="196"/>
      <c r="Z76" s="196"/>
      <c r="AA76" s="115"/>
      <c r="AH76" s="91">
        <f t="shared" si="7"/>
        <v>1</v>
      </c>
      <c r="AI76" s="91" t="str">
        <f t="array" ref="AI76">IF(AH76="","",INDEX(B:B,SMALL(IF(D$1:D$100=AH76,ROW($1:$100)),COUNTIF(AH$4:AH76,AH76))))</f>
        <v>Togo</v>
      </c>
      <c r="AJ76" s="91" t="str">
        <f t="array" ref="AJ76">IF(AH76="","",INDEX(C:C,SMALL(IF(D$1:D$100=AH76,ROW($1:$100)),COUNTIF(AH$4:AH76,AH76))))</f>
        <v>A</v>
      </c>
    </row>
    <row r="77" spans="1:36" ht="15">
      <c r="A77" s="126">
        <f t="shared" si="5"/>
        <v>5</v>
      </c>
      <c r="B77" s="92" t="s">
        <v>72</v>
      </c>
      <c r="C77" s="92" t="s">
        <v>278</v>
      </c>
      <c r="D77" s="116">
        <f t="shared" si="6"/>
        <v>13</v>
      </c>
      <c r="E77" s="198">
        <v>1</v>
      </c>
      <c r="F77" s="198"/>
      <c r="G77" s="196" t="s">
        <v>169</v>
      </c>
      <c r="H77" s="198">
        <v>1</v>
      </c>
      <c r="I77" s="197">
        <v>4</v>
      </c>
      <c r="J77" s="198"/>
      <c r="K77" s="196" t="s">
        <v>169</v>
      </c>
      <c r="L77" s="196" t="s">
        <v>340</v>
      </c>
      <c r="M77" s="197">
        <v>4</v>
      </c>
      <c r="N77" s="196" t="s">
        <v>169</v>
      </c>
      <c r="O77" s="196"/>
      <c r="P77" s="196"/>
      <c r="Q77" s="196" t="s">
        <v>169</v>
      </c>
      <c r="R77" s="196" t="s">
        <v>169</v>
      </c>
      <c r="S77" s="196"/>
      <c r="T77" s="196"/>
      <c r="U77" s="196" t="s">
        <v>169</v>
      </c>
      <c r="V77" s="196"/>
      <c r="W77" s="197">
        <v>4</v>
      </c>
      <c r="X77" s="196" t="s">
        <v>169</v>
      </c>
      <c r="Y77" s="198"/>
      <c r="Z77" s="198"/>
      <c r="AA77" s="115"/>
      <c r="AH77" s="91">
        <f t="shared" si="7"/>
        <v>1</v>
      </c>
      <c r="AI77" s="91" t="str">
        <f t="array" ref="AI77">IF(AH77="","",INDEX(B:B,SMALL(IF(D$1:D$100=AH77,ROW($1:$100)),COUNTIF(AH$4:AH77,AH77))))</f>
        <v>Trinidad und T.</v>
      </c>
      <c r="AJ77" s="91" t="str">
        <f t="array" ref="AJ77">IF(AH77="","",INDEX(C:C,SMALL(IF(D$1:D$100=AH77,ROW($1:$100)),COUNTIF(AH$4:AH77,AH77))))</f>
        <v>NA</v>
      </c>
    </row>
    <row r="78" spans="1:36" ht="15">
      <c r="A78" s="126">
        <f t="shared" si="5"/>
        <v>1</v>
      </c>
      <c r="B78" s="92" t="s">
        <v>44</v>
      </c>
      <c r="C78" s="92" t="s">
        <v>279</v>
      </c>
      <c r="D78" s="116">
        <f t="shared" si="6"/>
        <v>10</v>
      </c>
      <c r="E78" s="197">
        <v>3</v>
      </c>
      <c r="F78" s="196" t="s">
        <v>169</v>
      </c>
      <c r="G78" s="196"/>
      <c r="H78" s="196" t="s">
        <v>169</v>
      </c>
      <c r="I78" s="196"/>
      <c r="J78" s="196"/>
      <c r="K78" s="196"/>
      <c r="L78" s="196"/>
      <c r="M78" s="196"/>
      <c r="N78" s="196"/>
      <c r="O78" s="196"/>
      <c r="P78" s="196"/>
      <c r="Q78" s="196"/>
      <c r="R78" s="196" t="s">
        <v>169</v>
      </c>
      <c r="S78" s="196" t="s">
        <v>169</v>
      </c>
      <c r="T78" s="196" t="s">
        <v>169</v>
      </c>
      <c r="U78" s="196" t="s">
        <v>340</v>
      </c>
      <c r="V78" s="196" t="s">
        <v>169</v>
      </c>
      <c r="W78" s="196" t="s">
        <v>169</v>
      </c>
      <c r="X78" s="196" t="s">
        <v>169</v>
      </c>
      <c r="Y78" s="196"/>
      <c r="Z78" s="196"/>
      <c r="AA78" s="115"/>
      <c r="AH78" s="91">
        <f t="shared" si="7"/>
        <v>1</v>
      </c>
      <c r="AI78" s="91" t="str">
        <f t="array" ref="AI78">IF(AH78="","",INDEX(B:B,SMALL(IF(D$1:D$100=AH78,ROW($1:$100)),COUNTIF(AH$4:AH78,AH78))))</f>
        <v>Ukraine</v>
      </c>
      <c r="AJ78" s="91" t="str">
        <f t="array" ref="AJ78">IF(AH78="","",INDEX(C:C,SMALL(IF(D$1:D$100=AH78,ROW($1:$100)),COUNTIF(AH$4:AH78,AH78))))</f>
        <v>E</v>
      </c>
    </row>
    <row r="79" spans="1:36" ht="15">
      <c r="A79" s="126">
        <f t="shared" si="5"/>
        <v>0</v>
      </c>
      <c r="B79" s="92" t="s">
        <v>344</v>
      </c>
      <c r="C79" s="92" t="s">
        <v>352</v>
      </c>
      <c r="D79" s="116">
        <f t="shared" si="6"/>
        <v>1</v>
      </c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 t="s">
        <v>169</v>
      </c>
      <c r="S79" s="196"/>
      <c r="T79" s="196"/>
      <c r="U79" s="196"/>
      <c r="V79" s="196"/>
      <c r="W79" s="196"/>
      <c r="X79" s="196"/>
      <c r="Y79" s="196"/>
      <c r="Z79" s="196"/>
      <c r="AA79" s="115"/>
      <c r="AH79" s="91">
        <f t="shared" si="7"/>
        <v>1</v>
      </c>
      <c r="AI79" s="91" t="str">
        <f t="array" ref="AI79">IF(AH79="","",INDEX(B:B,SMALL(IF(D$1:D$100=AH79,ROW($1:$100)),COUNTIF(AH$4:AH79,AH79))))</f>
        <v>v. Arab. Emirate</v>
      </c>
      <c r="AJ79" s="91" t="str">
        <f t="array" ref="AJ79">IF(AH79="","",INDEX(C:C,SMALL(IF(D$1:D$100=AH79,ROW($1:$100)),COUNTIF(AH$4:AH79,AH79))))</f>
        <v>AS</v>
      </c>
    </row>
    <row r="80" spans="1:36" s="133" customFormat="1">
      <c r="A80" s="126">
        <f t="shared" si="5"/>
        <v>0</v>
      </c>
      <c r="B80" s="92" t="s">
        <v>179</v>
      </c>
      <c r="C80" s="92" t="s">
        <v>136</v>
      </c>
      <c r="D80" s="116">
        <f t="shared" si="6"/>
        <v>1</v>
      </c>
      <c r="E80" s="196"/>
      <c r="F80" s="196"/>
      <c r="G80" s="196"/>
      <c r="H80" s="196"/>
      <c r="I80" s="196"/>
      <c r="J80" s="196" t="s">
        <v>340</v>
      </c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31"/>
      <c r="AH80" s="91">
        <f t="shared" si="7"/>
        <v>1</v>
      </c>
      <c r="AI80" s="133" t="str">
        <f t="array" ref="AI80">IF(AH80="","",INDEX(B:B,SMALL(IF(D$1:D$100=AH80,ROW($1:$100)),COUNTIF(AH$4:AH80,AH80))))</f>
        <v>Wales</v>
      </c>
      <c r="AJ80" s="91" t="str">
        <f t="array" ref="AJ80">IF(AH80="","",INDEX(C:C,SMALL(IF(D$1:D$100=AH80,ROW($1:$100)),COUNTIF(AH$4:AH80,AH80))))</f>
        <v>E</v>
      </c>
    </row>
    <row r="81" spans="5:36"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0"/>
      <c r="Y81" s="191"/>
      <c r="AH81" s="91" t="str">
        <f t="shared" si="7"/>
        <v/>
      </c>
      <c r="AI81" s="91" t="str">
        <f t="array" ref="AI81">IF(AH81="","",INDEX(B:B,SMALL(IF(D$1:D$100=AH81,ROW($1:$100)),COUNTIF(AH$4:AH81,AH81))))</f>
        <v/>
      </c>
      <c r="AJ81" s="91" t="str">
        <f t="array" ref="AJ81">IF(AH81="","",INDEX(C:C,SMALL(IF(D$1:D$100=AH81,ROW($1:$100)),COUNTIF(AH$4:AH81,AH81))))</f>
        <v/>
      </c>
    </row>
    <row r="82" spans="5:36"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31"/>
      <c r="AH82" s="91" t="str">
        <f t="shared" si="7"/>
        <v/>
      </c>
      <c r="AI82" s="91" t="str">
        <f t="array" ref="AI82">IF(AH82="","",INDEX(B:B,SMALL(IF(D$1:D$100=AH82,ROW($1:$100)),COUNTIF(AH$4:AH82,AH82))))</f>
        <v/>
      </c>
      <c r="AJ82" s="91" t="str">
        <f t="array" ref="AJ82">IF(AH82="","",INDEX(C:C,SMALL(IF(D$1:D$100=AH82,ROW($1:$100)),COUNTIF(AH$4:AH82,AH82))))</f>
        <v/>
      </c>
    </row>
    <row r="83" spans="5:36"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31"/>
      <c r="AJ83" s="91" t="str">
        <f t="array" ref="AJ83">IF(AH83="","",INDEX(C:C,SMALL(IF(D$1:D$100=AH83,ROW($1:$100)),COUNTIF(AH$4:AH83,AH83))))</f>
        <v/>
      </c>
    </row>
    <row r="84" spans="5:36"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AJ84" s="91" t="str">
        <f t="array" ref="AJ84">IF(AH84="","",INDEX(C:C,SMALL(IF(D$1:D$100=AH84,ROW($1:$100)),COUNTIF(AH$4:AH84,AH84))))</f>
        <v/>
      </c>
    </row>
    <row r="85" spans="5:36"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AJ85" s="91" t="str">
        <f t="array" ref="AJ85">IF(AH85="","",INDEX(C:C,SMALL(IF(D$1:D$100=AH85,ROW($1:$100)),COUNTIF(AH$4:AH85,AH85))))</f>
        <v/>
      </c>
    </row>
    <row r="86" spans="5:36">
      <c r="E86" s="19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AJ86" s="91" t="str">
        <f t="array" ref="AJ86">IF(AH86="","",INDEX(C:C,SMALL(IF(D$1:D$100=AH86,ROW($1:$100)),COUNTIF(AH$4:AH86,AH86))))</f>
        <v/>
      </c>
    </row>
    <row r="87" spans="5:36">
      <c r="E87" s="19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</row>
    <row r="103" spans="2:2">
      <c r="B103" s="113">
        <f>COUNT(E4:W100)</f>
        <v>76</v>
      </c>
    </row>
    <row r="104" spans="2:2">
      <c r="B104" s="123" t="s">
        <v>398</v>
      </c>
    </row>
    <row r="105" spans="2:2">
      <c r="B105" s="114" t="s">
        <v>209</v>
      </c>
    </row>
    <row r="106" spans="2:2">
      <c r="B106" s="113">
        <f>COUNTA(E4:X100)</f>
        <v>425</v>
      </c>
    </row>
    <row r="107" spans="2:2">
      <c r="B107" s="113">
        <f>SUM(E3:X3)</f>
        <v>425</v>
      </c>
    </row>
    <row r="108" spans="2:2">
      <c r="B108" s="92" t="s">
        <v>208</v>
      </c>
    </row>
  </sheetData>
  <sheetCalcPr fullCalcOnLoad="1"/>
  <phoneticPr fontId="2" type="noConversion"/>
  <conditionalFormatting sqref="E3:X80 Y3:Z79">
    <cfRule type="expression" dxfId="94" priority="1" stopIfTrue="1">
      <formula>E$1=$AE$3</formula>
    </cfRule>
  </conditionalFormatting>
  <conditionalFormatting sqref="E1:Z1">
    <cfRule type="expression" dxfId="93" priority="2" stopIfTrue="1">
      <formula>E1=$AE3</formula>
    </cfRule>
  </conditionalFormatting>
  <conditionalFormatting sqref="AC2">
    <cfRule type="expression" dxfId="92" priority="3" stopIfTrue="1">
      <formula>LEFT(AC2,4)="Jahr"</formula>
    </cfRule>
  </conditionalFormatting>
  <conditionalFormatting sqref="E2:Z2">
    <cfRule type="expression" dxfId="91" priority="4" stopIfTrue="1">
      <formula>E$1=$AE$3</formula>
    </cfRule>
  </conditionalFormatting>
  <conditionalFormatting sqref="AC1">
    <cfRule type="expression" dxfId="90" priority="5" stopIfTrue="1">
      <formula>LEFT(AC1,4)="Jahr"</formula>
    </cfRule>
  </conditionalFormatting>
  <conditionalFormatting sqref="AC4:AC19">
    <cfRule type="expression" dxfId="89" priority="6" stopIfTrue="1">
      <formula>AC4="Deutschland"</formula>
    </cfRule>
  </conditionalFormatting>
  <pageMargins left="0.33" right="0.78740157499999996" top="0.27" bottom="0.16" header="0.21" footer="0.17"/>
  <pageSetup paperSize="9" scale="9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10"/>
  <sheetViews>
    <sheetView zoomScale="120" workbookViewId="0">
      <pane xSplit="4" ySplit="3" topLeftCell="O4" activePane="bottomRight" state="frozen"/>
      <selection pane="topRight" activeCell="D1" sqref="D1"/>
      <selection pane="bottomLeft" activeCell="A3" sqref="A3"/>
      <selection pane="bottomRight" activeCell="AA9" sqref="AA9"/>
    </sheetView>
  </sheetViews>
  <sheetFormatPr baseColWidth="10" defaultColWidth="12.5703125" defaultRowHeight="14.25"/>
  <cols>
    <col min="1" max="1" width="2.140625" style="149" customWidth="1"/>
    <col min="2" max="2" width="13.85546875" style="148" bestFit="1" customWidth="1"/>
    <col min="3" max="3" width="2.28515625" style="148" bestFit="1" customWidth="1"/>
    <col min="4" max="4" width="6.42578125" style="148" customWidth="1"/>
    <col min="5" max="5" width="6.7109375" style="149" customWidth="1"/>
    <col min="6" max="7" width="4.7109375" style="149" customWidth="1"/>
    <col min="8" max="9" width="4.28515625" style="149" bestFit="1" customWidth="1"/>
    <col min="10" max="24" width="6.7109375" style="149" customWidth="1"/>
    <col min="25" max="25" width="2.7109375" style="149" customWidth="1"/>
    <col min="26" max="26" width="4.7109375" style="149" customWidth="1"/>
    <col min="27" max="27" width="11" style="149" customWidth="1"/>
    <col min="28" max="28" width="14.140625" style="149" customWidth="1"/>
    <col min="29" max="16384" width="12.5703125" style="149"/>
  </cols>
  <sheetData>
    <row r="1" spans="1:27" s="153" customFormat="1" ht="15">
      <c r="A1" s="113"/>
      <c r="B1" s="159" t="str">
        <f>IF(SUBTOTAL(3,B4:B100)-B3=0,"","gefiltert: "&amp;SUBTOTAL(3,B4:B100))</f>
        <v/>
      </c>
      <c r="C1" s="154"/>
      <c r="D1" s="249">
        <v>2006</v>
      </c>
      <c r="E1" s="210">
        <v>1934</v>
      </c>
      <c r="F1" s="222">
        <v>1938</v>
      </c>
      <c r="G1" s="222"/>
      <c r="H1" s="222">
        <v>1954</v>
      </c>
      <c r="I1" s="222"/>
      <c r="J1" s="210">
        <v>1958</v>
      </c>
      <c r="K1" s="210">
        <v>1962</v>
      </c>
      <c r="L1" s="210">
        <v>1966</v>
      </c>
      <c r="M1" s="210">
        <v>1970</v>
      </c>
      <c r="N1" s="210">
        <v>1974</v>
      </c>
      <c r="O1" s="210">
        <v>1978</v>
      </c>
      <c r="P1" s="210">
        <v>1982</v>
      </c>
      <c r="Q1" s="210">
        <v>1986</v>
      </c>
      <c r="R1" s="210">
        <v>1990</v>
      </c>
      <c r="S1" s="210">
        <v>1994</v>
      </c>
      <c r="T1" s="210">
        <v>1998</v>
      </c>
      <c r="U1" s="210">
        <v>2002</v>
      </c>
      <c r="V1" s="210">
        <v>2006</v>
      </c>
      <c r="W1" s="210">
        <v>2010</v>
      </c>
      <c r="X1" s="210">
        <v>2014</v>
      </c>
      <c r="Z1" s="154" t="str">
        <f t="array" ref="Z1">SUM(IF(ISNUMBER(LEFT(E4:X60)*1),LEFT(E4:X60)*1))&amp;":"&amp;SUM(IF(ISNUMBER(RIGHT(E4:X60)*1),RIGHT(E4:X60)*1))&amp;" Tore"</f>
        <v>206:117 Tore</v>
      </c>
    </row>
    <row r="2" spans="1:27" s="153" customFormat="1" ht="10.5" customHeight="1">
      <c r="A2" s="113"/>
      <c r="B2" s="159"/>
      <c r="C2" s="154"/>
      <c r="D2" s="283"/>
      <c r="E2" s="290" t="s">
        <v>42</v>
      </c>
      <c r="F2" s="291" t="s">
        <v>48</v>
      </c>
      <c r="G2" s="291"/>
      <c r="H2" s="291" t="s">
        <v>49</v>
      </c>
      <c r="I2" s="291"/>
      <c r="J2" s="290" t="s">
        <v>407</v>
      </c>
      <c r="K2" s="290" t="s">
        <v>66</v>
      </c>
      <c r="L2" s="290" t="s">
        <v>33</v>
      </c>
      <c r="M2" s="290" t="s">
        <v>156</v>
      </c>
      <c r="N2" s="290" t="s">
        <v>408</v>
      </c>
      <c r="O2" s="290" t="s">
        <v>409</v>
      </c>
      <c r="P2" s="290" t="s">
        <v>51</v>
      </c>
      <c r="Q2" s="290" t="s">
        <v>156</v>
      </c>
      <c r="R2" s="290" t="s">
        <v>42</v>
      </c>
      <c r="S2" s="290" t="s">
        <v>44</v>
      </c>
      <c r="T2" s="290" t="s">
        <v>406</v>
      </c>
      <c r="U2" s="290" t="s">
        <v>410</v>
      </c>
      <c r="V2" s="290" t="s">
        <v>408</v>
      </c>
      <c r="W2" s="290" t="s">
        <v>61</v>
      </c>
      <c r="X2" s="290" t="s">
        <v>20</v>
      </c>
    </row>
    <row r="3" spans="1:27" s="153" customFormat="1" ht="23.25" customHeight="1">
      <c r="B3" s="229">
        <f>COUNTA(B4:B81)</f>
        <v>45</v>
      </c>
      <c r="C3" s="154"/>
      <c r="D3" s="231" t="s">
        <v>404</v>
      </c>
      <c r="E3" s="153" t="s">
        <v>332</v>
      </c>
      <c r="F3" s="223" t="s">
        <v>334</v>
      </c>
      <c r="G3" s="223"/>
      <c r="H3" s="223" t="s">
        <v>331</v>
      </c>
      <c r="I3" s="223"/>
      <c r="J3" s="153" t="s">
        <v>331</v>
      </c>
      <c r="K3" s="153" t="s">
        <v>332</v>
      </c>
      <c r="L3" s="153" t="s">
        <v>331</v>
      </c>
      <c r="M3" s="153" t="s">
        <v>331</v>
      </c>
      <c r="N3" s="153" t="s">
        <v>333</v>
      </c>
      <c r="O3" s="153" t="s">
        <v>331</v>
      </c>
      <c r="P3" s="153" t="s">
        <v>335</v>
      </c>
      <c r="Q3" s="153" t="s">
        <v>335</v>
      </c>
      <c r="R3" s="153" t="s">
        <v>335</v>
      </c>
      <c r="S3" s="153" t="s">
        <v>336</v>
      </c>
      <c r="T3" s="153" t="s">
        <v>337</v>
      </c>
      <c r="U3" s="153" t="s">
        <v>338</v>
      </c>
      <c r="V3" s="153" t="s">
        <v>338</v>
      </c>
      <c r="W3" s="153" t="s">
        <v>338</v>
      </c>
      <c r="X3" s="153" t="str">
        <f t="array" ref="X3">SUM(LEN(X4:X100))-SUM(LEN(SUBSTITUTE(X4:X100,":",)))&amp;" (32)"</f>
        <v>0 (32)</v>
      </c>
      <c r="Z3" s="210">
        <f>COUNTA(E4:X60)</f>
        <v>99</v>
      </c>
      <c r="AA3" s="154" t="s">
        <v>17</v>
      </c>
    </row>
    <row r="4" spans="1:27" ht="15.75" thickBot="1">
      <c r="A4" s="155"/>
      <c r="B4" s="232" t="s">
        <v>69</v>
      </c>
      <c r="C4" s="149">
        <f t="array" ref="C4">SUM(LEN(E4:X4))-SUM(LEN(SUBSTITUTE(E4:X4,":",)))</f>
        <v>1</v>
      </c>
      <c r="D4" s="230" t="str">
        <f t="shared" ref="D4:D48" si="0">SUMPRODUCT((LEFT(E4:X4)&gt;RIGHT(E4:X4))*1)&amp;"/"&amp;C4-SUMPRODUCT((LEFT(E4:X4)&gt;RIGHT(E4:X4))*1)-SUMPRODUCT((LEFT(E4:X4)&lt;RIGHT(E4:X4))*1)&amp;"/"&amp;SUMPRODUCT((LEFT(E4:X4)&lt;RIGHT(E4:X4))*1)</f>
        <v>0/0/1</v>
      </c>
      <c r="E4" s="182"/>
      <c r="F4" s="182"/>
      <c r="G4" s="182"/>
      <c r="H4" s="216"/>
      <c r="I4" s="216"/>
      <c r="J4" s="216"/>
      <c r="K4" s="216"/>
      <c r="L4" s="216"/>
      <c r="M4" s="216"/>
      <c r="N4" s="216"/>
      <c r="O4" s="216"/>
      <c r="P4" s="282" t="s">
        <v>233</v>
      </c>
      <c r="Q4" s="216"/>
      <c r="R4" s="216"/>
      <c r="S4" s="216"/>
      <c r="T4" s="216"/>
      <c r="U4" s="216"/>
      <c r="V4" s="216"/>
      <c r="W4" s="216"/>
      <c r="X4" s="216"/>
      <c r="Z4" s="181">
        <f>SUMPRODUCT((LEFT(E4:X100)&gt;RIGHT(E4:X100))*1)+4</f>
        <v>64</v>
      </c>
      <c r="AA4" s="148" t="s">
        <v>245</v>
      </c>
    </row>
    <row r="5" spans="1:27" ht="15.75" thickBot="1">
      <c r="A5" s="155"/>
      <c r="B5" s="232" t="s">
        <v>36</v>
      </c>
      <c r="C5" s="149">
        <f t="array" ref="C5">SUM(LEN(E5:X5))-SUM(LEN(SUBSTITUTE(E5:X5,":",)))</f>
        <v>6</v>
      </c>
      <c r="D5" s="230" t="str">
        <f t="shared" si="0"/>
        <v>3/2/1</v>
      </c>
      <c r="E5" s="182"/>
      <c r="F5" s="182"/>
      <c r="G5" s="182"/>
      <c r="H5" s="216"/>
      <c r="I5" s="216"/>
      <c r="J5" s="278" t="s">
        <v>229</v>
      </c>
      <c r="K5" s="216"/>
      <c r="L5" s="279" t="s">
        <v>240</v>
      </c>
      <c r="M5" s="216"/>
      <c r="N5" s="216"/>
      <c r="O5" s="216"/>
      <c r="P5" s="285"/>
      <c r="Q5" s="211" t="s">
        <v>226</v>
      </c>
      <c r="R5" s="213" t="s">
        <v>220</v>
      </c>
      <c r="S5" s="216"/>
      <c r="T5" s="216"/>
      <c r="U5" s="216"/>
      <c r="V5" s="280" t="s">
        <v>234</v>
      </c>
      <c r="W5" s="280" t="s">
        <v>223</v>
      </c>
      <c r="X5" s="216"/>
      <c r="Z5" s="182">
        <f>Z3-Z4-Z6</f>
        <v>15</v>
      </c>
      <c r="AA5" s="148" t="s">
        <v>319</v>
      </c>
    </row>
    <row r="6" spans="1:27" ht="15">
      <c r="A6" s="155"/>
      <c r="B6" s="232" t="s">
        <v>46</v>
      </c>
      <c r="C6" s="149">
        <f t="array" ref="C6">SUM(LEN(E6:X6))-SUM(LEN(SUBSTITUTE(E6:X6,":",)))</f>
        <v>2</v>
      </c>
      <c r="D6" s="230" t="str">
        <f t="shared" si="0"/>
        <v>2/0/0</v>
      </c>
      <c r="E6" s="182"/>
      <c r="F6" s="182"/>
      <c r="G6" s="182"/>
      <c r="H6" s="216"/>
      <c r="I6" s="216"/>
      <c r="J6" s="216"/>
      <c r="K6" s="216"/>
      <c r="L6" s="216"/>
      <c r="M6" s="216"/>
      <c r="N6" s="278" t="s">
        <v>232</v>
      </c>
      <c r="O6" s="216"/>
      <c r="P6" s="285"/>
      <c r="Q6" s="216"/>
      <c r="R6" s="216"/>
      <c r="S6" s="216"/>
      <c r="T6" s="216"/>
      <c r="U6" s="216"/>
      <c r="V6" s="221"/>
      <c r="W6" s="278" t="s">
        <v>223</v>
      </c>
      <c r="X6" s="216"/>
      <c r="Z6" s="183">
        <f>SUMPRODUCT((LEFT(E4:X100)&lt;RIGHT(E4:X100))*1)</f>
        <v>20</v>
      </c>
      <c r="AA6" s="148" t="s">
        <v>246</v>
      </c>
    </row>
    <row r="7" spans="1:27" ht="15.75" thickBot="1">
      <c r="A7" s="155"/>
      <c r="B7" s="232" t="s">
        <v>157</v>
      </c>
      <c r="C7" s="149">
        <f t="array" ref="C7">SUM(LEN(E7:X7))-SUM(LEN(SUBSTITUTE(E7:X7,":",)))</f>
        <v>2</v>
      </c>
      <c r="D7" s="230" t="str">
        <f t="shared" si="0"/>
        <v>2/0/0</v>
      </c>
      <c r="E7" s="288" t="s">
        <v>242</v>
      </c>
      <c r="F7" s="224"/>
      <c r="G7" s="182"/>
      <c r="H7" s="216"/>
      <c r="I7" s="216"/>
      <c r="J7" s="216"/>
      <c r="K7" s="216"/>
      <c r="L7" s="216"/>
      <c r="M7" s="216"/>
      <c r="N7" s="283"/>
      <c r="O7" s="216"/>
      <c r="P7" s="285"/>
      <c r="Q7" s="216"/>
      <c r="R7" s="216"/>
      <c r="S7" s="217" t="s">
        <v>221</v>
      </c>
      <c r="T7" s="216"/>
      <c r="U7" s="216"/>
      <c r="V7" s="221"/>
      <c r="W7" s="220"/>
      <c r="X7" s="216"/>
    </row>
    <row r="8" spans="1:27" ht="15.75" thickBot="1">
      <c r="A8" s="155"/>
      <c r="B8" s="232" t="s">
        <v>170</v>
      </c>
      <c r="C8" s="149">
        <f t="array" ref="C8">SUM(LEN(E8:X8))-SUM(LEN(SUBSTITUTE(E8:X8,":",)))</f>
        <v>1</v>
      </c>
      <c r="D8" s="230" t="str">
        <f t="shared" si="0"/>
        <v>1/0/0</v>
      </c>
      <c r="E8" s="182"/>
      <c r="F8" s="182"/>
      <c r="G8" s="182"/>
      <c r="H8" s="216"/>
      <c r="I8" s="216"/>
      <c r="J8" s="216"/>
      <c r="K8" s="216"/>
      <c r="L8" s="216"/>
      <c r="M8" s="216"/>
      <c r="N8" s="283"/>
      <c r="O8" s="216"/>
      <c r="P8" s="285"/>
      <c r="Q8" s="216"/>
      <c r="R8" s="216"/>
      <c r="S8" s="278" t="s">
        <v>220</v>
      </c>
      <c r="T8" s="216"/>
      <c r="U8" s="216"/>
      <c r="V8" s="221"/>
      <c r="W8" s="220"/>
      <c r="X8" s="216"/>
      <c r="AA8" s="205" t="s">
        <v>339</v>
      </c>
    </row>
    <row r="9" spans="1:27" ht="15.75" thickBot="1">
      <c r="A9" s="155"/>
      <c r="B9" s="232" t="s">
        <v>20</v>
      </c>
      <c r="C9" s="149">
        <f t="array" ref="C9">SUM(LEN(E9:X9))-SUM(LEN(SUBSTITUTE(E9:X9,":",)))</f>
        <v>1</v>
      </c>
      <c r="D9" s="230" t="str">
        <f t="shared" si="0"/>
        <v>0/0/1</v>
      </c>
      <c r="E9" s="182"/>
      <c r="F9" s="182"/>
      <c r="G9" s="182"/>
      <c r="H9" s="216"/>
      <c r="I9" s="216"/>
      <c r="J9" s="216"/>
      <c r="K9" s="216"/>
      <c r="L9" s="216"/>
      <c r="M9" s="216"/>
      <c r="N9" s="283"/>
      <c r="O9" s="216"/>
      <c r="P9" s="285"/>
      <c r="Q9" s="216"/>
      <c r="R9" s="216"/>
      <c r="S9" s="216"/>
      <c r="T9" s="216"/>
      <c r="U9" s="212" t="s">
        <v>218</v>
      </c>
      <c r="V9" s="221"/>
      <c r="W9" s="216"/>
      <c r="X9" s="216"/>
    </row>
    <row r="10" spans="1:27" ht="15.75" thickBot="1">
      <c r="A10" s="155"/>
      <c r="B10" s="232" t="s">
        <v>153</v>
      </c>
      <c r="C10" s="149">
        <f t="array" ref="C10">SUM(LEN(E10:X10))-SUM(LEN(SUBSTITUTE(E10:X10,":",)))</f>
        <v>2</v>
      </c>
      <c r="D10" s="230" t="str">
        <f t="shared" si="0"/>
        <v>1/0/1</v>
      </c>
      <c r="E10" s="182"/>
      <c r="F10" s="182"/>
      <c r="G10" s="182"/>
      <c r="H10" s="216"/>
      <c r="I10" s="216"/>
      <c r="J10" s="216"/>
      <c r="K10" s="216"/>
      <c r="L10" s="216"/>
      <c r="M10" s="278" t="s">
        <v>242</v>
      </c>
      <c r="N10" s="283"/>
      <c r="O10" s="216"/>
      <c r="P10" s="285"/>
      <c r="Q10" s="216"/>
      <c r="R10" s="216"/>
      <c r="S10" s="219" t="s">
        <v>233</v>
      </c>
      <c r="T10" s="216"/>
      <c r="U10" s="216"/>
      <c r="V10" s="221"/>
      <c r="W10" s="216"/>
      <c r="X10" s="216"/>
      <c r="AA10" s="209" t="s">
        <v>323</v>
      </c>
    </row>
    <row r="11" spans="1:27" ht="15">
      <c r="A11" s="155"/>
      <c r="B11" s="232" t="s">
        <v>66</v>
      </c>
      <c r="C11" s="149">
        <f t="array" ref="C11">SUM(LEN(E11:X11))-SUM(LEN(SUBSTITUTE(E11:X11,":",)))</f>
        <v>3</v>
      </c>
      <c r="D11" s="230" t="str">
        <f t="shared" si="0"/>
        <v>3/0/0</v>
      </c>
      <c r="E11" s="182"/>
      <c r="F11" s="182"/>
      <c r="G11" s="182"/>
      <c r="H11" s="216"/>
      <c r="I11" s="216"/>
      <c r="J11" s="216"/>
      <c r="K11" s="278" t="s">
        <v>230</v>
      </c>
      <c r="L11" s="216"/>
      <c r="M11" s="221"/>
      <c r="N11" s="278" t="s">
        <v>220</v>
      </c>
      <c r="O11" s="216"/>
      <c r="P11" s="278" t="s">
        <v>237</v>
      </c>
      <c r="Q11" s="216"/>
      <c r="R11" s="216"/>
      <c r="S11" s="219"/>
      <c r="T11" s="216"/>
      <c r="U11" s="216"/>
      <c r="V11" s="221"/>
      <c r="W11" s="216"/>
      <c r="X11" s="216"/>
    </row>
    <row r="12" spans="1:27" ht="15.75" thickBot="1">
      <c r="A12" s="155"/>
      <c r="B12" s="232" t="s">
        <v>30</v>
      </c>
      <c r="C12" s="149">
        <f t="array" ref="C12">SUM(LEN(E12:X12))-SUM(LEN(SUBSTITUTE(E12:X12,":",)))</f>
        <v>1</v>
      </c>
      <c r="D12" s="230" t="str">
        <f t="shared" si="0"/>
        <v>1/0/0</v>
      </c>
      <c r="E12" s="182"/>
      <c r="F12" s="182"/>
      <c r="G12" s="182"/>
      <c r="H12" s="216"/>
      <c r="I12" s="216"/>
      <c r="J12" s="216"/>
      <c r="K12" s="216"/>
      <c r="L12" s="216"/>
      <c r="M12" s="221"/>
      <c r="N12" s="285"/>
      <c r="O12" s="216"/>
      <c r="P12" s="216"/>
      <c r="Q12" s="216"/>
      <c r="R12" s="216"/>
      <c r="S12" s="216"/>
      <c r="T12" s="216"/>
      <c r="U12" s="216"/>
      <c r="V12" s="278" t="s">
        <v>231</v>
      </c>
      <c r="W12" s="216"/>
      <c r="X12" s="216"/>
      <c r="Z12" s="148"/>
      <c r="AA12" s="238" t="s">
        <v>23</v>
      </c>
    </row>
    <row r="13" spans="1:27" ht="15">
      <c r="A13" s="155"/>
      <c r="B13" s="232" t="s">
        <v>64</v>
      </c>
      <c r="C13" s="149">
        <f t="array" ref="C13">SUM(LEN(E13:X13))-SUM(LEN(SUBSTITUTE(E13:X13,":",)))</f>
        <v>1</v>
      </c>
      <c r="D13" s="230" t="str">
        <f t="shared" si="0"/>
        <v>0/0/1</v>
      </c>
      <c r="E13" s="182"/>
      <c r="F13" s="182"/>
      <c r="G13" s="182"/>
      <c r="H13" s="216"/>
      <c r="I13" s="216"/>
      <c r="J13" s="216"/>
      <c r="K13" s="216"/>
      <c r="L13" s="216"/>
      <c r="M13" s="221"/>
      <c r="N13" s="282"/>
      <c r="O13" s="216"/>
      <c r="P13" s="216"/>
      <c r="Q13" s="282" t="s">
        <v>218</v>
      </c>
      <c r="R13" s="216"/>
      <c r="S13" s="216"/>
      <c r="T13" s="216"/>
      <c r="U13" s="216"/>
      <c r="V13" s="283"/>
      <c r="W13" s="216"/>
      <c r="X13" s="216"/>
      <c r="Z13" s="148"/>
    </row>
    <row r="14" spans="1:27" ht="15">
      <c r="A14" s="155"/>
      <c r="B14" s="232" t="s">
        <v>182</v>
      </c>
      <c r="C14" s="149">
        <f t="array" ref="C14">SUM(LEN(E14:X14))-SUM(LEN(SUBSTITUTE(E14:X14,":",)))</f>
        <v>1</v>
      </c>
      <c r="D14" s="230" t="str">
        <f t="shared" si="0"/>
        <v>0/0/1</v>
      </c>
      <c r="E14" s="182"/>
      <c r="F14" s="182"/>
      <c r="G14" s="182"/>
      <c r="H14" s="216"/>
      <c r="I14" s="216"/>
      <c r="J14" s="216"/>
      <c r="K14" s="216"/>
      <c r="L14" s="216"/>
      <c r="M14" s="221"/>
      <c r="N14" s="282" t="s">
        <v>224</v>
      </c>
      <c r="O14" s="216"/>
      <c r="P14" s="216"/>
      <c r="Q14" s="216"/>
      <c r="R14" s="216"/>
      <c r="S14" s="216"/>
      <c r="T14" s="216"/>
      <c r="U14" s="216"/>
      <c r="V14" s="283"/>
      <c r="W14" s="216"/>
      <c r="X14" s="216"/>
      <c r="Z14" s="148"/>
      <c r="AA14" s="281" t="s">
        <v>448</v>
      </c>
    </row>
    <row r="15" spans="1:27" ht="15.75" thickBot="1">
      <c r="A15" s="155"/>
      <c r="B15" s="232" t="s">
        <v>32</v>
      </c>
      <c r="C15" s="149">
        <f t="array" ref="C15">SUM(LEN(E15:X15))-SUM(LEN(SUBSTITUTE(E15:X15,":",)))</f>
        <v>1</v>
      </c>
      <c r="D15" s="230" t="str">
        <f t="shared" si="0"/>
        <v>1/0/0</v>
      </c>
      <c r="E15" s="182"/>
      <c r="F15" s="182"/>
      <c r="G15" s="182"/>
      <c r="H15" s="216"/>
      <c r="I15" s="216"/>
      <c r="J15" s="216"/>
      <c r="K15" s="216"/>
      <c r="L15" s="216"/>
      <c r="M15" s="221"/>
      <c r="N15" s="216"/>
      <c r="O15" s="216"/>
      <c r="P15" s="216"/>
      <c r="Q15" s="216"/>
      <c r="R15" s="216"/>
      <c r="S15" s="216"/>
      <c r="T15" s="216"/>
      <c r="U15" s="216"/>
      <c r="V15" s="278" t="s">
        <v>232</v>
      </c>
      <c r="W15" s="216"/>
      <c r="X15" s="216"/>
      <c r="Z15" s="148"/>
    </row>
    <row r="16" spans="1:27" ht="15.75" thickBot="1">
      <c r="A16" s="155"/>
      <c r="B16" s="232" t="s">
        <v>33</v>
      </c>
      <c r="C16" s="149">
        <f t="array" ref="C16">SUM(LEN(E16:X16))-SUM(LEN(SUBSTITUTE(E16:X16,":",)))</f>
        <v>5</v>
      </c>
      <c r="D16" s="230" t="str">
        <f t="shared" si="0"/>
        <v>2/2/1</v>
      </c>
      <c r="E16" s="182"/>
      <c r="F16" s="182"/>
      <c r="G16" s="182"/>
      <c r="H16" s="216"/>
      <c r="I16" s="216"/>
      <c r="J16" s="216"/>
      <c r="K16" s="216"/>
      <c r="L16" s="211" t="s">
        <v>219</v>
      </c>
      <c r="M16" s="217" t="s">
        <v>221</v>
      </c>
      <c r="N16" s="216"/>
      <c r="O16" s="216"/>
      <c r="P16" s="220" t="s">
        <v>240</v>
      </c>
      <c r="Q16" s="216"/>
      <c r="R16" s="235" t="s">
        <v>234</v>
      </c>
      <c r="S16" s="216"/>
      <c r="T16" s="216"/>
      <c r="U16" s="216"/>
      <c r="V16" s="221"/>
      <c r="W16" s="225" t="s">
        <v>237</v>
      </c>
      <c r="X16" s="216"/>
      <c r="Z16" s="148"/>
    </row>
    <row r="17" spans="1:26" ht="15.75" thickBot="1">
      <c r="A17" s="155"/>
      <c r="B17" s="232" t="s">
        <v>48</v>
      </c>
      <c r="C17" s="149">
        <f t="array" ref="C17">SUM(LEN(E17:X17))-SUM(LEN(SUBSTITUTE(E17:X17,":",)))</f>
        <v>3</v>
      </c>
      <c r="D17" s="230" t="str">
        <f t="shared" si="0"/>
        <v>1/1/1</v>
      </c>
      <c r="E17" s="182"/>
      <c r="F17" s="182"/>
      <c r="G17" s="182"/>
      <c r="H17" s="216"/>
      <c r="I17" s="216"/>
      <c r="J17" s="226" t="s">
        <v>228</v>
      </c>
      <c r="K17" s="216"/>
      <c r="L17" s="216"/>
      <c r="M17" s="216"/>
      <c r="N17" s="216"/>
      <c r="O17" s="216"/>
      <c r="P17" s="235" t="s">
        <v>383</v>
      </c>
      <c r="Q17" s="235" t="s">
        <v>230</v>
      </c>
      <c r="R17" s="221"/>
      <c r="S17" s="216"/>
      <c r="T17" s="216"/>
      <c r="U17" s="216"/>
      <c r="V17" s="216"/>
      <c r="W17" s="221"/>
      <c r="X17" s="216"/>
      <c r="Z17" s="148"/>
    </row>
    <row r="18" spans="1:26" ht="15.75" thickBot="1">
      <c r="A18" s="155"/>
      <c r="B18" s="232" t="s">
        <v>43</v>
      </c>
      <c r="C18" s="149">
        <f t="array" ref="C18">SUM(LEN(E18:X18))-SUM(LEN(SUBSTITUTE(E18:X18,":",)))</f>
        <v>1</v>
      </c>
      <c r="D18" s="230" t="str">
        <f t="shared" si="0"/>
        <v>1/0/0</v>
      </c>
      <c r="E18" s="182"/>
      <c r="F18" s="182"/>
      <c r="G18" s="182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21"/>
      <c r="S18" s="216"/>
      <c r="T18" s="216"/>
      <c r="U18" s="216"/>
      <c r="V18" s="216"/>
      <c r="W18" s="278" t="s">
        <v>220</v>
      </c>
      <c r="X18" s="289"/>
      <c r="Z18" s="148"/>
    </row>
    <row r="19" spans="1:26" ht="15.75" thickBot="1">
      <c r="A19" s="155"/>
      <c r="B19" s="232" t="s">
        <v>37</v>
      </c>
      <c r="C19" s="149">
        <f t="array" ref="C19">SUM(LEN(E19:X19))-SUM(LEN(SUBSTITUTE(E19:X19,":",)))</f>
        <v>3</v>
      </c>
      <c r="D19" s="230" t="str">
        <f t="shared" si="0"/>
        <v>2/1/0</v>
      </c>
      <c r="E19" s="182"/>
      <c r="F19" s="182"/>
      <c r="G19" s="182"/>
      <c r="H19" s="216"/>
      <c r="I19" s="216"/>
      <c r="J19" s="216"/>
      <c r="K19" s="216"/>
      <c r="L19" s="216"/>
      <c r="M19" s="216"/>
      <c r="N19" s="213" t="s">
        <v>222</v>
      </c>
      <c r="O19" s="220" t="s">
        <v>235</v>
      </c>
      <c r="P19" s="216"/>
      <c r="Q19" s="216"/>
      <c r="R19" s="217" t="s">
        <v>222</v>
      </c>
      <c r="S19" s="216"/>
      <c r="T19" s="216"/>
      <c r="U19" s="216"/>
      <c r="V19" s="216"/>
      <c r="W19" s="216"/>
      <c r="X19" s="216"/>
      <c r="Z19" s="148"/>
    </row>
    <row r="20" spans="1:26" ht="15">
      <c r="A20" s="155"/>
      <c r="B20" s="232" t="s">
        <v>39</v>
      </c>
      <c r="C20" s="149">
        <f t="array" ref="C20">SUM(LEN(E20:X20))-SUM(LEN(SUBSTITUTE(E20:X20,":",)))</f>
        <v>1</v>
      </c>
      <c r="D20" s="230" t="str">
        <f t="shared" si="0"/>
        <v>1/0/0</v>
      </c>
      <c r="E20" s="182"/>
      <c r="F20" s="182"/>
      <c r="G20" s="182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78" t="s">
        <v>230</v>
      </c>
      <c r="U20" s="216"/>
      <c r="V20" s="216"/>
      <c r="W20" s="216"/>
      <c r="X20" s="216"/>
      <c r="Z20" s="148"/>
    </row>
    <row r="21" spans="1:26" ht="15.75" thickBot="1">
      <c r="A21" s="155"/>
      <c r="B21" s="232" t="s">
        <v>188</v>
      </c>
      <c r="C21" s="149">
        <f t="array" ref="C21">SUM(LEN(E21:X21))-SUM(LEN(SUBSTITUTE(E21:X21,":",)))</f>
        <v>1</v>
      </c>
      <c r="D21" s="230" t="str">
        <f t="shared" si="0"/>
        <v>0/1/0</v>
      </c>
      <c r="E21" s="182"/>
      <c r="F21" s="182"/>
      <c r="G21" s="182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84" t="s">
        <v>234</v>
      </c>
      <c r="V21" s="216"/>
      <c r="W21" s="216"/>
      <c r="X21" s="216"/>
      <c r="Z21" s="148"/>
    </row>
    <row r="22" spans="1:26" ht="15.75" thickBot="1">
      <c r="A22" s="155"/>
      <c r="B22" s="232" t="s">
        <v>42</v>
      </c>
      <c r="C22" s="149">
        <f t="array" ref="C22">SUM(LEN(E22:X22))-SUM(LEN(SUBSTITUTE(E22:X22,":",)))</f>
        <v>5</v>
      </c>
      <c r="D22" s="230" t="str">
        <f t="shared" si="0"/>
        <v>0/2/3</v>
      </c>
      <c r="E22" s="182"/>
      <c r="F22" s="182"/>
      <c r="G22" s="182"/>
      <c r="H22" s="216"/>
      <c r="I22" s="216"/>
      <c r="J22" s="216"/>
      <c r="K22" s="284" t="s">
        <v>240</v>
      </c>
      <c r="L22" s="216"/>
      <c r="M22" s="237" t="s">
        <v>217</v>
      </c>
      <c r="N22" s="216"/>
      <c r="O22" s="220" t="s">
        <v>240</v>
      </c>
      <c r="P22" s="211" t="s">
        <v>225</v>
      </c>
      <c r="Q22" s="216"/>
      <c r="R22" s="216"/>
      <c r="S22" s="216"/>
      <c r="T22" s="216"/>
      <c r="U22" s="216"/>
      <c r="V22" s="237" t="s">
        <v>218</v>
      </c>
      <c r="W22" s="216"/>
      <c r="X22" s="216"/>
      <c r="Z22" s="148"/>
    </row>
    <row r="23" spans="1:26" ht="15">
      <c r="A23" s="155"/>
      <c r="B23" s="232" t="s">
        <v>62</v>
      </c>
      <c r="C23" s="149">
        <f t="array" ref="C23">SUM(LEN(E23:X23))-SUM(LEN(SUBSTITUTE(E23:X23,":",)))</f>
        <v>1</v>
      </c>
      <c r="D23" s="230" t="str">
        <f t="shared" si="0"/>
        <v>1/0/0</v>
      </c>
      <c r="E23" s="182"/>
      <c r="F23" s="182"/>
      <c r="G23" s="182"/>
      <c r="H23" s="216"/>
      <c r="I23" s="216"/>
      <c r="J23" s="216"/>
      <c r="K23" s="285"/>
      <c r="L23" s="216"/>
      <c r="M23" s="216"/>
      <c r="N23" s="216"/>
      <c r="O23" s="216"/>
      <c r="P23" s="216"/>
      <c r="Q23" s="216"/>
      <c r="R23" s="216"/>
      <c r="S23" s="216"/>
      <c r="T23" s="216"/>
      <c r="U23" s="217" t="s">
        <v>230</v>
      </c>
      <c r="V23" s="216"/>
      <c r="W23" s="216"/>
      <c r="X23" s="216"/>
      <c r="Z23" s="148"/>
    </row>
    <row r="24" spans="1:26" ht="15">
      <c r="A24" s="155"/>
      <c r="B24" s="232" t="s">
        <v>180</v>
      </c>
      <c r="C24" s="149">
        <f t="array" ref="C24">SUM(LEN(E24:X24))-SUM(LEN(SUBSTITUTE(E24:X24,":",)))</f>
        <v>1</v>
      </c>
      <c r="D24" s="230" t="str">
        <f t="shared" si="0"/>
        <v>0/1/0</v>
      </c>
      <c r="E24" s="182"/>
      <c r="F24" s="182"/>
      <c r="G24" s="182"/>
      <c r="H24" s="216"/>
      <c r="I24" s="216"/>
      <c r="J24" s="216"/>
      <c r="K24" s="285"/>
      <c r="L24" s="216"/>
      <c r="M24" s="216"/>
      <c r="N24" s="216"/>
      <c r="O24" s="216"/>
      <c r="P24" s="216"/>
      <c r="Q24" s="216"/>
      <c r="R24" s="284" t="s">
        <v>234</v>
      </c>
      <c r="S24" s="216"/>
      <c r="T24" s="216"/>
      <c r="U24" s="217"/>
      <c r="V24" s="216"/>
      <c r="W24" s="216"/>
      <c r="X24" s="216"/>
      <c r="Z24" s="148"/>
    </row>
    <row r="25" spans="1:26" ht="15">
      <c r="A25" s="155"/>
      <c r="B25" s="232" t="s">
        <v>45</v>
      </c>
      <c r="C25" s="149">
        <f t="array" ref="C25">SUM(LEN(E25:X25))-SUM(LEN(SUBSTITUTE(E25:X25,":",)))</f>
        <v>1</v>
      </c>
      <c r="D25" s="230" t="str">
        <f t="shared" si="0"/>
        <v>0/0/1</v>
      </c>
      <c r="E25" s="182"/>
      <c r="F25" s="182"/>
      <c r="G25" s="182"/>
      <c r="H25" s="216"/>
      <c r="I25" s="216"/>
      <c r="J25" s="216"/>
      <c r="K25" s="285"/>
      <c r="L25" s="216"/>
      <c r="M25" s="216"/>
      <c r="N25" s="216"/>
      <c r="O25" s="216"/>
      <c r="P25" s="216"/>
      <c r="Q25" s="216"/>
      <c r="R25" s="216"/>
      <c r="S25" s="216"/>
      <c r="T25" s="219" t="s">
        <v>236</v>
      </c>
      <c r="U25" s="217"/>
      <c r="V25" s="216"/>
      <c r="W25" s="216"/>
      <c r="X25" s="216"/>
    </row>
    <row r="26" spans="1:26" ht="15">
      <c r="A26" s="155"/>
      <c r="B26" s="232" t="s">
        <v>414</v>
      </c>
      <c r="C26" s="149">
        <f t="array" ref="C26">SUM(LEN(E26:X26))-SUM(LEN(SUBSTITUTE(E26:X26,":",)))</f>
        <v>2</v>
      </c>
      <c r="D26" s="230" t="str">
        <f t="shared" si="0"/>
        <v>2/0/0</v>
      </c>
      <c r="E26" s="182"/>
      <c r="F26" s="182"/>
      <c r="G26" s="182"/>
      <c r="H26" s="216"/>
      <c r="I26" s="216"/>
      <c r="J26" s="216"/>
      <c r="K26" s="285"/>
      <c r="L26" s="216"/>
      <c r="M26" s="278" t="s">
        <v>222</v>
      </c>
      <c r="N26" s="220"/>
      <c r="O26" s="216"/>
      <c r="P26" s="216"/>
      <c r="Q26" s="217" t="s">
        <v>220</v>
      </c>
      <c r="R26" s="216"/>
      <c r="S26" s="216"/>
      <c r="T26" s="219"/>
      <c r="U26" s="217"/>
      <c r="V26" s="216"/>
      <c r="W26" s="216"/>
      <c r="X26" s="216"/>
    </row>
    <row r="27" spans="1:26" ht="15">
      <c r="A27" s="155"/>
      <c r="B27" s="232" t="s">
        <v>38</v>
      </c>
      <c r="C27" s="149">
        <f t="array" ref="C27">SUM(LEN(E27:X27))-SUM(LEN(SUBSTITUTE(E27:X27,":",)))</f>
        <v>3</v>
      </c>
      <c r="D27" s="230" t="str">
        <f t="shared" si="0"/>
        <v>2/1/0</v>
      </c>
      <c r="E27" s="182"/>
      <c r="F27" s="182"/>
      <c r="G27" s="182"/>
      <c r="H27" s="216"/>
      <c r="I27" s="216"/>
      <c r="J27" s="216"/>
      <c r="K27" s="285"/>
      <c r="L27" s="216"/>
      <c r="M27" s="283"/>
      <c r="N27" s="216"/>
      <c r="O27" s="277" t="s">
        <v>241</v>
      </c>
      <c r="P27" s="216"/>
      <c r="Q27" s="217" t="s">
        <v>240</v>
      </c>
      <c r="R27" s="216"/>
      <c r="S27" s="216"/>
      <c r="T27" s="217" t="s">
        <v>222</v>
      </c>
      <c r="U27" s="217"/>
      <c r="V27" s="216"/>
      <c r="W27" s="216"/>
      <c r="X27" s="216"/>
    </row>
    <row r="28" spans="1:26" ht="15">
      <c r="A28" s="155"/>
      <c r="B28" s="232" t="s">
        <v>178</v>
      </c>
      <c r="C28" s="149">
        <f t="array" ref="C28">SUM(LEN(E28:X28))-SUM(LEN(SUBSTITUTE(E28:X28,":",)))</f>
        <v>1</v>
      </c>
      <c r="D28" s="230" t="str">
        <f t="shared" si="0"/>
        <v>0/1/0</v>
      </c>
      <c r="E28" s="182"/>
      <c r="F28" s="182"/>
      <c r="G28" s="182"/>
      <c r="H28" s="216"/>
      <c r="I28" s="216"/>
      <c r="J28" s="284" t="s">
        <v>235</v>
      </c>
      <c r="K28" s="285"/>
      <c r="L28" s="216"/>
      <c r="M28" s="283"/>
      <c r="N28" s="216"/>
      <c r="O28" s="220"/>
      <c r="P28" s="216"/>
      <c r="Q28" s="220"/>
      <c r="R28" s="216"/>
      <c r="S28" s="216"/>
      <c r="T28" s="220"/>
      <c r="U28" s="217"/>
      <c r="V28" s="216"/>
      <c r="W28" s="216"/>
      <c r="X28" s="216"/>
    </row>
    <row r="29" spans="1:26" ht="15.75" thickBot="1">
      <c r="A29" s="155"/>
      <c r="B29" s="232" t="s">
        <v>161</v>
      </c>
      <c r="C29" s="149">
        <f t="array" ref="C29">SUM(LEN(E29:X29))-SUM(LEN(SUBSTITUTE(E29:X29,":",)))</f>
        <v>4</v>
      </c>
      <c r="D29" s="230" t="str">
        <f t="shared" si="0"/>
        <v>3/0/1</v>
      </c>
      <c r="E29" s="208" t="s">
        <v>221</v>
      </c>
      <c r="F29" s="224"/>
      <c r="G29" s="182"/>
      <c r="H29" s="235" t="s">
        <v>244</v>
      </c>
      <c r="I29" s="218"/>
      <c r="J29" s="216"/>
      <c r="K29" s="285"/>
      <c r="L29" s="216"/>
      <c r="M29" s="283"/>
      <c r="N29" s="216"/>
      <c r="O29" s="219" t="s">
        <v>226</v>
      </c>
      <c r="P29" s="278" t="s">
        <v>220</v>
      </c>
      <c r="Q29" s="216"/>
      <c r="R29" s="216"/>
      <c r="S29" s="216"/>
      <c r="T29" s="216"/>
      <c r="U29" s="283"/>
      <c r="V29" s="216"/>
      <c r="W29" s="216"/>
      <c r="X29" s="216"/>
    </row>
    <row r="30" spans="1:26" ht="15">
      <c r="A30" s="155"/>
      <c r="B30" s="232" t="s">
        <v>34</v>
      </c>
      <c r="C30" s="149">
        <f t="array" ref="C30">SUM(LEN(E30:X30))-SUM(LEN(SUBSTITUTE(E30:X30,":",)))</f>
        <v>1</v>
      </c>
      <c r="D30" s="230" t="str">
        <f t="shared" si="0"/>
        <v>1/0/0</v>
      </c>
      <c r="E30" s="224"/>
      <c r="F30" s="224"/>
      <c r="G30" s="182"/>
      <c r="H30" s="216"/>
      <c r="I30" s="216"/>
      <c r="J30" s="216"/>
      <c r="K30" s="285"/>
      <c r="L30" s="216"/>
      <c r="M30" s="283"/>
      <c r="N30" s="216"/>
      <c r="O30" s="219"/>
      <c r="P30" s="220"/>
      <c r="Q30" s="216"/>
      <c r="R30" s="216"/>
      <c r="S30" s="216"/>
      <c r="T30" s="216"/>
      <c r="U30" s="278" t="s">
        <v>220</v>
      </c>
      <c r="V30" s="216"/>
      <c r="W30" s="216"/>
      <c r="X30" s="216"/>
    </row>
    <row r="31" spans="1:26" ht="15">
      <c r="A31" s="155"/>
      <c r="B31" s="232" t="s">
        <v>171</v>
      </c>
      <c r="C31" s="149">
        <f t="array" ref="C31">SUM(LEN(E31:X31))-SUM(LEN(SUBSTITUTE(E31:X31,":",)))</f>
        <v>1</v>
      </c>
      <c r="D31" s="230" t="str">
        <f t="shared" si="0"/>
        <v>1/0/0</v>
      </c>
      <c r="E31" s="224"/>
      <c r="F31" s="224"/>
      <c r="G31" s="182"/>
      <c r="H31" s="216"/>
      <c r="I31" s="216"/>
      <c r="J31" s="216"/>
      <c r="K31" s="285"/>
      <c r="L31" s="216"/>
      <c r="M31" s="278" t="s">
        <v>229</v>
      </c>
      <c r="N31" s="216"/>
      <c r="O31" s="219"/>
      <c r="P31" s="220"/>
      <c r="Q31" s="216"/>
      <c r="R31" s="216"/>
      <c r="S31" s="216"/>
      <c r="T31" s="216"/>
      <c r="U31" s="284"/>
      <c r="V31" s="216"/>
      <c r="W31" s="216"/>
      <c r="X31" s="216"/>
    </row>
    <row r="32" spans="1:26" ht="15.75" thickBot="1">
      <c r="A32" s="155"/>
      <c r="B32" s="232" t="s">
        <v>31</v>
      </c>
      <c r="C32" s="149">
        <f t="array" ref="C32">SUM(LEN(E32:X32))-SUM(LEN(SUBSTITUTE(E32:X32,":",)))</f>
        <v>3</v>
      </c>
      <c r="D32" s="230" t="str">
        <f t="shared" si="0"/>
        <v>2/1/0</v>
      </c>
      <c r="E32" s="182"/>
      <c r="F32" s="182"/>
      <c r="G32" s="182"/>
      <c r="H32" s="216"/>
      <c r="I32" s="216"/>
      <c r="J32" s="216"/>
      <c r="K32" s="285"/>
      <c r="L32" s="216"/>
      <c r="M32" s="221"/>
      <c r="N32" s="235" t="s">
        <v>220</v>
      </c>
      <c r="O32" s="279" t="s">
        <v>240</v>
      </c>
      <c r="P32" s="216"/>
      <c r="Q32" s="216"/>
      <c r="R32" s="216"/>
      <c r="S32" s="216"/>
      <c r="T32" s="216"/>
      <c r="U32" s="285"/>
      <c r="V32" s="278" t="s">
        <v>220</v>
      </c>
      <c r="W32" s="216"/>
      <c r="X32" s="216"/>
    </row>
    <row r="33" spans="1:24" ht="15.75" thickBot="1">
      <c r="A33" s="155"/>
      <c r="B33" s="232" t="s">
        <v>41</v>
      </c>
      <c r="C33" s="149">
        <f t="array" ref="C33">SUM(LEN(E33:X33))-SUM(LEN(SUBSTITUTE(E33:X33,":",)))</f>
        <v>1</v>
      </c>
      <c r="D33" s="230" t="str">
        <f t="shared" si="0"/>
        <v>1/0/0</v>
      </c>
      <c r="E33" s="182"/>
      <c r="F33" s="182"/>
      <c r="G33" s="182"/>
      <c r="H33" s="216"/>
      <c r="I33" s="216"/>
      <c r="J33" s="216"/>
      <c r="K33" s="285"/>
      <c r="L33" s="216"/>
      <c r="M33" s="221"/>
      <c r="N33" s="221"/>
      <c r="O33" s="216"/>
      <c r="P33" s="216"/>
      <c r="Q33" s="216"/>
      <c r="R33" s="216"/>
      <c r="S33" s="216"/>
      <c r="T33" s="216"/>
      <c r="U33" s="285"/>
      <c r="V33" s="214" t="s">
        <v>229</v>
      </c>
      <c r="W33" s="216"/>
      <c r="X33" s="289"/>
    </row>
    <row r="34" spans="1:24" ht="15.75" thickBot="1">
      <c r="A34" s="155"/>
      <c r="B34" s="232" t="s">
        <v>211</v>
      </c>
      <c r="C34" s="149">
        <f t="array" ref="C34">SUM(LEN(E34:X34))-SUM(LEN(SUBSTITUTE(E34:X34,":",)))</f>
        <v>1</v>
      </c>
      <c r="D34" s="230" t="str">
        <f t="shared" si="0"/>
        <v>1/0/0</v>
      </c>
      <c r="E34" s="182"/>
      <c r="F34" s="182"/>
      <c r="G34" s="182"/>
      <c r="H34" s="216"/>
      <c r="I34" s="216"/>
      <c r="J34" s="216"/>
      <c r="K34" s="285"/>
      <c r="L34" s="235" t="s">
        <v>222</v>
      </c>
      <c r="M34" s="216"/>
      <c r="N34" s="221"/>
      <c r="O34" s="216"/>
      <c r="P34" s="216"/>
      <c r="Q34" s="216"/>
      <c r="R34" s="216"/>
      <c r="S34" s="216"/>
      <c r="T34" s="216"/>
      <c r="U34" s="285"/>
      <c r="V34" s="217"/>
      <c r="W34" s="216"/>
      <c r="X34" s="216"/>
    </row>
    <row r="35" spans="1:24" ht="15">
      <c r="A35" s="155"/>
      <c r="B35" s="232" t="s">
        <v>250</v>
      </c>
      <c r="C35" s="149">
        <f t="array" ref="C35">SUM(LEN(E35:X35))-SUM(LEN(SUBSTITUTE(E35:X35,":",)))</f>
        <v>1</v>
      </c>
      <c r="D35" s="230" t="str">
        <f t="shared" si="0"/>
        <v>1/0/0</v>
      </c>
      <c r="E35" s="182"/>
      <c r="F35" s="182"/>
      <c r="G35" s="182"/>
      <c r="H35" s="216"/>
      <c r="I35" s="216"/>
      <c r="J35" s="216"/>
      <c r="K35" s="285"/>
      <c r="L35" s="216"/>
      <c r="M35" s="216"/>
      <c r="N35" s="221"/>
      <c r="O35" s="216"/>
      <c r="P35" s="216"/>
      <c r="Q35" s="216"/>
      <c r="R35" s="216"/>
      <c r="S35" s="216"/>
      <c r="T35" s="216"/>
      <c r="U35" s="278" t="s">
        <v>227</v>
      </c>
      <c r="V35" s="221"/>
      <c r="W35" s="216"/>
      <c r="X35" s="216"/>
    </row>
    <row r="36" spans="1:24" ht="15">
      <c r="A36" s="155"/>
      <c r="B36" s="232" t="s">
        <v>177</v>
      </c>
      <c r="C36" s="149">
        <f t="array" ref="C36">SUM(LEN(E36:X36))-SUM(LEN(SUBSTITUTE(E36:X36,":",)))</f>
        <v>1</v>
      </c>
      <c r="D36" s="230" t="str">
        <f t="shared" si="0"/>
        <v>1/0/0</v>
      </c>
      <c r="E36" s="182"/>
      <c r="F36" s="182"/>
      <c r="G36" s="182"/>
      <c r="H36" s="216"/>
      <c r="I36" s="216"/>
      <c r="J36" s="216"/>
      <c r="K36" s="285"/>
      <c r="L36" s="216"/>
      <c r="M36" s="216"/>
      <c r="N36" s="221"/>
      <c r="O36" s="216"/>
      <c r="P36" s="216"/>
      <c r="Q36" s="278" t="s">
        <v>222</v>
      </c>
      <c r="R36" s="216"/>
      <c r="S36" s="216"/>
      <c r="T36" s="216"/>
      <c r="U36" s="278"/>
      <c r="V36" s="221"/>
      <c r="W36" s="216"/>
      <c r="X36" s="216"/>
    </row>
    <row r="37" spans="1:24" ht="15.75" thickBot="1">
      <c r="A37" s="155"/>
      <c r="B37" s="232" t="s">
        <v>35</v>
      </c>
      <c r="C37" s="149">
        <f t="array" ref="C37">SUM(LEN(E37:X37))-SUM(LEN(SUBSTITUTE(E37:X37,":",)))</f>
        <v>4</v>
      </c>
      <c r="D37" s="230" t="str">
        <f t="shared" si="0"/>
        <v>3/0/1</v>
      </c>
      <c r="E37" s="227" t="s">
        <v>222</v>
      </c>
      <c r="F37" s="224"/>
      <c r="G37" s="182"/>
      <c r="H37" s="216"/>
      <c r="I37" s="216"/>
      <c r="J37" s="237" t="s">
        <v>225</v>
      </c>
      <c r="K37" s="285"/>
      <c r="L37" s="216"/>
      <c r="M37" s="216"/>
      <c r="N37" s="217" t="s">
        <v>231</v>
      </c>
      <c r="O37" s="216"/>
      <c r="P37" s="216"/>
      <c r="Q37" s="285"/>
      <c r="R37" s="216"/>
      <c r="S37" s="216"/>
      <c r="T37" s="216"/>
      <c r="U37" s="283"/>
      <c r="V37" s="217" t="s">
        <v>230</v>
      </c>
      <c r="W37" s="216"/>
      <c r="X37" s="216"/>
    </row>
    <row r="38" spans="1:24" ht="15">
      <c r="A38" s="155"/>
      <c r="B38" s="232" t="s">
        <v>49</v>
      </c>
      <c r="C38" s="149">
        <f t="array" ref="C38">SUM(LEN(E38:X38))-SUM(LEN(SUBSTITUTE(E38:X38,":",)))</f>
        <v>4</v>
      </c>
      <c r="D38" s="230" t="str">
        <f t="shared" si="0"/>
        <v>2/1/1</v>
      </c>
      <c r="E38" s="182"/>
      <c r="F38" s="286" t="s">
        <v>234</v>
      </c>
      <c r="G38" s="287" t="s">
        <v>219</v>
      </c>
      <c r="H38" s="219"/>
      <c r="I38" s="216"/>
      <c r="J38" s="216"/>
      <c r="K38" s="278" t="s">
        <v>222</v>
      </c>
      <c r="L38" s="277" t="s">
        <v>243</v>
      </c>
      <c r="M38" s="216"/>
      <c r="N38" s="217"/>
      <c r="O38" s="216"/>
      <c r="P38" s="216"/>
      <c r="Q38" s="285"/>
      <c r="R38" s="216"/>
      <c r="S38" s="216"/>
      <c r="T38" s="216"/>
      <c r="U38" s="221"/>
      <c r="V38" s="220"/>
      <c r="W38" s="216"/>
      <c r="X38" s="216"/>
    </row>
    <row r="39" spans="1:24" ht="15">
      <c r="A39" s="155"/>
      <c r="B39" s="232" t="s">
        <v>54</v>
      </c>
      <c r="C39" s="149">
        <f t="array" ref="C39">SUM(LEN(E39:X39))-SUM(LEN(SUBSTITUTE(E39:X39,":",)))</f>
        <v>7</v>
      </c>
      <c r="D39" s="230" t="str">
        <f t="shared" si="0"/>
        <v>4/1/2</v>
      </c>
      <c r="E39" s="182"/>
      <c r="F39" s="182"/>
      <c r="G39" s="182"/>
      <c r="H39" s="217" t="s">
        <v>230</v>
      </c>
      <c r="I39" s="218"/>
      <c r="J39" s="217" t="s">
        <v>220</v>
      </c>
      <c r="K39" s="219" t="s">
        <v>224</v>
      </c>
      <c r="L39" s="221"/>
      <c r="M39" s="216"/>
      <c r="N39" s="217" t="s">
        <v>230</v>
      </c>
      <c r="O39" s="216"/>
      <c r="P39" s="216"/>
      <c r="Q39" s="285"/>
      <c r="R39" s="278" t="s">
        <v>237</v>
      </c>
      <c r="S39" s="216"/>
      <c r="T39" s="284" t="s">
        <v>235</v>
      </c>
      <c r="U39" s="221"/>
      <c r="V39" s="216"/>
      <c r="W39" s="282" t="s">
        <v>224</v>
      </c>
      <c r="X39" s="216"/>
    </row>
    <row r="40" spans="1:24" ht="15.75" thickBot="1">
      <c r="A40" s="155"/>
      <c r="B40" s="232" t="s">
        <v>51</v>
      </c>
      <c r="C40" s="149">
        <f t="array" ref="C40">SUM(LEN(E40:X40))-SUM(LEN(SUBSTITUTE(E40:X40,":",)))</f>
        <v>4</v>
      </c>
      <c r="D40" s="230" t="str">
        <f t="shared" si="0"/>
        <v>2/1/1</v>
      </c>
      <c r="E40" s="182"/>
      <c r="F40" s="182"/>
      <c r="G40" s="182"/>
      <c r="H40" s="216"/>
      <c r="I40" s="216"/>
      <c r="J40" s="216"/>
      <c r="K40" s="216"/>
      <c r="L40" s="277" t="s">
        <v>222</v>
      </c>
      <c r="M40" s="216"/>
      <c r="N40" s="216"/>
      <c r="O40" s="216"/>
      <c r="P40" s="217" t="s">
        <v>222</v>
      </c>
      <c r="Q40" s="285"/>
      <c r="R40" s="221"/>
      <c r="S40" s="284" t="s">
        <v>234</v>
      </c>
      <c r="T40" s="284"/>
      <c r="U40" s="221"/>
      <c r="V40" s="216"/>
      <c r="W40" s="236" t="s">
        <v>224</v>
      </c>
      <c r="X40" s="216"/>
    </row>
    <row r="41" spans="1:24" ht="15.75" thickBot="1">
      <c r="A41" s="155"/>
      <c r="B41" s="232" t="s">
        <v>60</v>
      </c>
      <c r="C41" s="149">
        <f t="array" ref="C41">SUM(LEN(E41:X41))-SUM(LEN(SUBSTITUTE(E41:X41,":",)))</f>
        <v>2</v>
      </c>
      <c r="D41" s="230" t="str">
        <f t="shared" si="0"/>
        <v>2/0/0</v>
      </c>
      <c r="E41" s="182"/>
      <c r="F41" s="182"/>
      <c r="G41" s="182"/>
      <c r="H41" s="216"/>
      <c r="I41" s="216"/>
      <c r="J41" s="216"/>
      <c r="K41" s="216"/>
      <c r="L41" s="216"/>
      <c r="M41" s="216"/>
      <c r="N41" s="216"/>
      <c r="O41" s="216"/>
      <c r="P41" s="216"/>
      <c r="Q41" s="285"/>
      <c r="R41" s="221"/>
      <c r="S41" s="278" t="s">
        <v>221</v>
      </c>
      <c r="T41" s="285"/>
      <c r="U41" s="235" t="s">
        <v>220</v>
      </c>
      <c r="V41" s="216"/>
      <c r="W41" s="219"/>
      <c r="X41" s="216"/>
    </row>
    <row r="42" spans="1:24" ht="15.75" thickBot="1">
      <c r="A42" s="155"/>
      <c r="B42" s="232" t="s">
        <v>164</v>
      </c>
      <c r="C42" s="149">
        <f t="array" ref="C42">SUM(LEN(E42:X42))-SUM(LEN(SUBSTITUTE(E42:X42,":",)))</f>
        <v>3</v>
      </c>
      <c r="D42" s="230" t="str">
        <f t="shared" si="0"/>
        <v>1/1/1</v>
      </c>
      <c r="E42" s="237" t="s">
        <v>225</v>
      </c>
      <c r="F42" s="228"/>
      <c r="G42" s="182"/>
      <c r="H42" s="216"/>
      <c r="I42" s="216"/>
      <c r="J42" s="284" t="s">
        <v>235</v>
      </c>
      <c r="K42" s="216"/>
      <c r="L42" s="216"/>
      <c r="M42" s="216"/>
      <c r="N42" s="216"/>
      <c r="O42" s="216"/>
      <c r="P42" s="216"/>
      <c r="Q42" s="285"/>
      <c r="R42" s="217" t="s">
        <v>220</v>
      </c>
      <c r="S42" s="216"/>
      <c r="T42" s="285"/>
      <c r="U42" s="221"/>
      <c r="V42" s="216"/>
      <c r="W42" s="219"/>
      <c r="X42" s="216"/>
    </row>
    <row r="43" spans="1:24" ht="15">
      <c r="A43" s="155"/>
      <c r="B43" s="232" t="s">
        <v>53</v>
      </c>
      <c r="C43" s="149">
        <f t="array" ref="C43">SUM(LEN(E43:X43))-SUM(LEN(SUBSTITUTE(E43:X43,":",)))</f>
        <v>1</v>
      </c>
      <c r="D43" s="230" t="str">
        <f t="shared" si="0"/>
        <v>0/1/0</v>
      </c>
      <c r="E43" s="182"/>
      <c r="F43" s="182"/>
      <c r="G43" s="182"/>
      <c r="H43" s="216"/>
      <c r="I43" s="216"/>
      <c r="J43" s="216"/>
      <c r="K43" s="216"/>
      <c r="L43" s="216"/>
      <c r="M43" s="216"/>
      <c r="N43" s="216"/>
      <c r="O43" s="279" t="s">
        <v>240</v>
      </c>
      <c r="P43" s="220"/>
      <c r="Q43" s="285"/>
      <c r="R43" s="217"/>
      <c r="S43" s="216"/>
      <c r="T43" s="285"/>
      <c r="U43" s="221"/>
      <c r="V43" s="216"/>
      <c r="W43" s="219"/>
      <c r="X43" s="216"/>
    </row>
    <row r="44" spans="1:24" ht="15.75" thickBot="1">
      <c r="A44" s="155"/>
      <c r="B44" s="232" t="s">
        <v>151</v>
      </c>
      <c r="C44" s="149">
        <f t="array" ref="C44">SUM(LEN(E44:X44))-SUM(LEN(SUBSTITUTE(E44:X44,":",)))</f>
        <v>2</v>
      </c>
      <c r="D44" s="230" t="str">
        <f t="shared" si="0"/>
        <v>2/0/0</v>
      </c>
      <c r="E44" s="182"/>
      <c r="F44" s="182"/>
      <c r="G44" s="182"/>
      <c r="H44" s="278" t="s">
        <v>237</v>
      </c>
      <c r="I44" s="278" t="s">
        <v>248</v>
      </c>
      <c r="J44" s="220"/>
      <c r="K44" s="216"/>
      <c r="L44" s="216"/>
      <c r="M44" s="216"/>
      <c r="N44" s="216"/>
      <c r="O44" s="216"/>
      <c r="P44" s="216"/>
      <c r="Q44" s="285"/>
      <c r="R44" s="217"/>
      <c r="S44" s="216"/>
      <c r="T44" s="285"/>
      <c r="U44" s="221"/>
      <c r="V44" s="216"/>
      <c r="W44" s="219"/>
      <c r="X44" s="216"/>
    </row>
    <row r="45" spans="1:24" ht="15.75" thickBot="1">
      <c r="A45" s="155"/>
      <c r="B45" s="232" t="s">
        <v>145</v>
      </c>
      <c r="C45" s="149">
        <f t="array" ref="C45">SUM(LEN(E45:X45))-SUM(LEN(SUBSTITUTE(E45:X45,":",)))</f>
        <v>2</v>
      </c>
      <c r="D45" s="230" t="str">
        <f t="shared" si="0"/>
        <v>1/0/1</v>
      </c>
      <c r="E45" s="182"/>
      <c r="F45" s="182"/>
      <c r="G45" s="182"/>
      <c r="H45" s="282" t="s">
        <v>247</v>
      </c>
      <c r="I45" s="213" t="s">
        <v>221</v>
      </c>
      <c r="J45" s="216"/>
      <c r="K45" s="216"/>
      <c r="L45" s="216"/>
      <c r="M45" s="216"/>
      <c r="N45" s="216"/>
      <c r="O45" s="216"/>
      <c r="P45" s="216"/>
      <c r="Q45" s="285"/>
      <c r="R45" s="221"/>
      <c r="S45" s="216"/>
      <c r="T45" s="285"/>
      <c r="U45" s="221"/>
      <c r="V45" s="216"/>
      <c r="W45" s="216"/>
      <c r="X45" s="216"/>
    </row>
    <row r="46" spans="1:24" ht="15.75" thickBot="1">
      <c r="A46" s="155"/>
      <c r="B46" s="232" t="s">
        <v>72</v>
      </c>
      <c r="C46" s="149">
        <f t="array" ref="C46">SUM(LEN(E46:X46))-SUM(LEN(SUBSTITUTE(E46:X46,":",)))</f>
        <v>4</v>
      </c>
      <c r="D46" s="230" t="str">
        <f t="shared" si="0"/>
        <v>3/1/0</v>
      </c>
      <c r="E46" s="182"/>
      <c r="F46" s="182"/>
      <c r="G46" s="182"/>
      <c r="H46" s="216"/>
      <c r="I46" s="216"/>
      <c r="J46" s="216"/>
      <c r="K46" s="216"/>
      <c r="L46" s="217" t="s">
        <v>223</v>
      </c>
      <c r="M46" s="214" t="s">
        <v>220</v>
      </c>
      <c r="N46" s="216"/>
      <c r="O46" s="216"/>
      <c r="P46" s="216"/>
      <c r="Q46" s="284" t="s">
        <v>234</v>
      </c>
      <c r="R46" s="221"/>
      <c r="S46" s="216"/>
      <c r="T46" s="285"/>
      <c r="U46" s="221"/>
      <c r="V46" s="216"/>
      <c r="W46" s="214" t="s">
        <v>221</v>
      </c>
      <c r="X46" s="216"/>
    </row>
    <row r="47" spans="1:24" ht="15">
      <c r="A47" s="155"/>
      <c r="B47" s="232" t="s">
        <v>44</v>
      </c>
      <c r="C47" s="149">
        <f t="array" ref="C47">SUM(LEN(E47:X47))-SUM(LEN(SUBSTITUTE(E47:X47,":",)))</f>
        <v>2</v>
      </c>
      <c r="D47" s="230" t="str">
        <f t="shared" si="0"/>
        <v>2/0/0</v>
      </c>
      <c r="E47" s="182"/>
      <c r="F47" s="182"/>
      <c r="G47" s="182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21"/>
      <c r="S47" s="216"/>
      <c r="T47" s="278" t="s">
        <v>230</v>
      </c>
      <c r="U47" s="280" t="s">
        <v>220</v>
      </c>
      <c r="V47" s="216"/>
      <c r="W47" s="216"/>
      <c r="X47" s="289"/>
    </row>
    <row r="48" spans="1:24" ht="15">
      <c r="A48" s="155"/>
      <c r="B48" s="232" t="s">
        <v>314</v>
      </c>
      <c r="C48" s="149">
        <f t="array" ref="C48">SUM(LEN(E48:X48))-SUM(LEN(SUBSTITUTE(E48:X48,":",)))</f>
        <v>1</v>
      </c>
      <c r="D48" s="230" t="str">
        <f t="shared" si="0"/>
        <v>1/0/0</v>
      </c>
      <c r="E48" s="182"/>
      <c r="F48" s="182"/>
      <c r="G48" s="182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78" t="s">
        <v>238</v>
      </c>
      <c r="S48" s="216"/>
      <c r="T48" s="216"/>
      <c r="U48" s="216"/>
      <c r="V48" s="216"/>
      <c r="W48" s="216"/>
      <c r="X48" s="216"/>
    </row>
    <row r="50" spans="4:4">
      <c r="D50" s="161"/>
    </row>
    <row r="73" spans="1:26">
      <c r="A73" s="185"/>
      <c r="B73" s="186"/>
      <c r="C73" s="186"/>
      <c r="D73" s="186"/>
      <c r="Y73" s="185"/>
      <c r="Z73" s="185"/>
    </row>
    <row r="74" spans="1:26">
      <c r="A74" s="185"/>
      <c r="B74" s="186"/>
      <c r="C74" s="186"/>
      <c r="D74" s="186"/>
      <c r="Y74" s="185"/>
      <c r="Z74" s="185"/>
    </row>
    <row r="75" spans="1:26">
      <c r="A75" s="185"/>
      <c r="B75" s="186"/>
      <c r="C75" s="186"/>
      <c r="D75" s="186"/>
      <c r="Y75" s="185"/>
      <c r="Z75" s="185"/>
    </row>
    <row r="76" spans="1:26">
      <c r="A76" s="185"/>
      <c r="B76" s="186"/>
      <c r="C76" s="186"/>
      <c r="D76" s="186"/>
      <c r="Y76" s="185"/>
      <c r="Z76" s="185"/>
    </row>
    <row r="77" spans="1:26">
      <c r="A77" s="185"/>
      <c r="B77" s="186"/>
      <c r="C77" s="186"/>
      <c r="D77" s="186"/>
      <c r="Y77" s="185"/>
      <c r="Z77" s="185"/>
    </row>
    <row r="78" spans="1:26">
      <c r="A78" s="185"/>
      <c r="B78" s="186"/>
      <c r="C78" s="186"/>
      <c r="D78" s="186"/>
      <c r="Y78" s="185"/>
      <c r="Z78" s="185"/>
    </row>
    <row r="79" spans="1:26">
      <c r="A79" s="185"/>
      <c r="B79" s="186"/>
      <c r="C79" s="186"/>
      <c r="D79" s="186"/>
      <c r="Y79" s="185"/>
      <c r="Z79" s="185"/>
    </row>
    <row r="80" spans="1:26">
      <c r="A80" s="185"/>
      <c r="B80" s="186"/>
      <c r="C80" s="186"/>
      <c r="D80" s="186"/>
      <c r="Y80" s="185"/>
      <c r="Z80" s="185"/>
    </row>
    <row r="81" spans="1:26">
      <c r="A81" s="185"/>
      <c r="B81" s="186"/>
      <c r="C81" s="186"/>
      <c r="D81" s="186"/>
      <c r="Y81" s="185"/>
      <c r="Z81" s="185"/>
    </row>
    <row r="82" spans="1:26">
      <c r="A82" s="185"/>
      <c r="B82" s="186"/>
      <c r="C82" s="186"/>
      <c r="D82" s="186"/>
      <c r="Y82" s="185"/>
      <c r="Z82" s="185"/>
    </row>
    <row r="83" spans="1:26">
      <c r="A83" s="185"/>
      <c r="B83" s="186"/>
      <c r="C83" s="186"/>
      <c r="D83" s="186"/>
      <c r="Y83" s="185"/>
      <c r="Z83" s="185"/>
    </row>
    <row r="84" spans="1:26">
      <c r="A84" s="185"/>
      <c r="B84" s="186"/>
      <c r="C84" s="186"/>
      <c r="D84" s="186"/>
      <c r="Y84" s="185"/>
      <c r="Z84" s="185"/>
    </row>
    <row r="85" spans="1:26">
      <c r="A85" s="185"/>
      <c r="B85" s="186"/>
      <c r="C85" s="186"/>
      <c r="D85" s="186"/>
      <c r="Y85" s="185"/>
      <c r="Z85" s="185"/>
    </row>
    <row r="86" spans="1:26">
      <c r="A86" s="185"/>
      <c r="B86" s="186"/>
      <c r="C86" s="186"/>
      <c r="D86" s="186"/>
      <c r="Y86" s="185"/>
      <c r="Z86" s="185"/>
    </row>
    <row r="87" spans="1:26">
      <c r="A87" s="185"/>
      <c r="B87" s="186"/>
      <c r="C87" s="186"/>
      <c r="D87" s="186"/>
      <c r="Y87" s="185"/>
      <c r="Z87" s="185"/>
    </row>
    <row r="88" spans="1:26">
      <c r="A88" s="185"/>
      <c r="B88" s="186"/>
      <c r="C88" s="186"/>
      <c r="D88" s="186"/>
      <c r="Y88" s="185"/>
      <c r="Z88" s="185"/>
    </row>
    <row r="89" spans="1:26">
      <c r="A89" s="185"/>
      <c r="B89" s="186"/>
      <c r="C89" s="186"/>
      <c r="D89" s="186"/>
      <c r="Y89" s="185"/>
      <c r="Z89" s="185"/>
    </row>
    <row r="90" spans="1:26">
      <c r="A90" s="185"/>
      <c r="B90" s="186"/>
      <c r="C90" s="186"/>
      <c r="D90" s="186"/>
      <c r="Y90" s="185"/>
      <c r="Z90" s="185"/>
    </row>
    <row r="91" spans="1:26">
      <c r="A91" s="185"/>
      <c r="B91" s="186"/>
      <c r="C91" s="186"/>
      <c r="D91" s="186"/>
      <c r="Y91" s="185"/>
      <c r="Z91" s="185"/>
    </row>
    <row r="92" spans="1:26">
      <c r="A92" s="185"/>
      <c r="B92" s="186"/>
      <c r="C92" s="186"/>
      <c r="D92" s="186"/>
      <c r="Y92" s="185"/>
      <c r="Z92" s="185"/>
    </row>
    <row r="93" spans="1:26">
      <c r="A93" s="185"/>
      <c r="B93" s="186"/>
      <c r="C93" s="186"/>
      <c r="D93" s="186"/>
      <c r="Y93" s="185"/>
      <c r="Z93" s="185"/>
    </row>
    <row r="94" spans="1:26">
      <c r="A94" s="185"/>
      <c r="B94" s="186"/>
      <c r="C94" s="186"/>
      <c r="D94" s="186"/>
      <c r="Y94" s="185"/>
      <c r="Z94" s="185"/>
    </row>
    <row r="95" spans="1:26">
      <c r="A95" s="185"/>
      <c r="B95" s="186"/>
      <c r="C95" s="186"/>
      <c r="D95" s="186"/>
      <c r="Y95" s="185"/>
      <c r="Z95" s="185"/>
    </row>
    <row r="96" spans="1:26">
      <c r="A96" s="185"/>
      <c r="B96" s="186"/>
      <c r="C96" s="186"/>
      <c r="D96" s="186"/>
      <c r="Y96" s="185"/>
      <c r="Z96" s="185"/>
    </row>
    <row r="97" spans="1:26">
      <c r="A97" s="185"/>
      <c r="B97" s="186"/>
      <c r="C97" s="186"/>
      <c r="D97" s="186"/>
      <c r="Y97" s="185"/>
      <c r="Z97" s="185"/>
    </row>
    <row r="98" spans="1:26">
      <c r="A98" s="185"/>
      <c r="B98" s="186"/>
      <c r="C98" s="186"/>
      <c r="D98" s="186"/>
      <c r="Y98" s="185"/>
      <c r="Z98" s="185"/>
    </row>
    <row r="99" spans="1:26">
      <c r="A99" s="185"/>
      <c r="B99" s="186"/>
      <c r="C99" s="186"/>
      <c r="D99" s="186"/>
      <c r="Y99" s="185"/>
      <c r="Z99" s="185"/>
    </row>
    <row r="100" spans="1:26">
      <c r="A100" s="185"/>
      <c r="B100" s="186"/>
      <c r="C100" s="186"/>
      <c r="D100" s="186"/>
      <c r="Y100" s="185"/>
      <c r="Z100" s="185"/>
    </row>
    <row r="101" spans="1:26">
      <c r="A101" s="185"/>
      <c r="B101" s="186"/>
      <c r="C101" s="186"/>
      <c r="D101" s="186"/>
      <c r="Y101" s="185"/>
      <c r="Z101" s="185"/>
    </row>
    <row r="102" spans="1:26">
      <c r="A102" s="185"/>
      <c r="B102" s="186"/>
      <c r="C102" s="186"/>
      <c r="D102" s="186"/>
      <c r="Y102" s="185"/>
      <c r="Z102" s="185"/>
    </row>
    <row r="103" spans="1:26">
      <c r="A103" s="185"/>
      <c r="B103" s="186"/>
      <c r="C103" s="186"/>
      <c r="D103" s="186"/>
      <c r="Y103" s="185"/>
      <c r="Z103" s="185"/>
    </row>
    <row r="104" spans="1:26">
      <c r="A104" s="185"/>
      <c r="B104" s="186"/>
      <c r="C104" s="186"/>
      <c r="D104" s="186"/>
      <c r="Y104" s="185"/>
      <c r="Z104" s="185"/>
    </row>
    <row r="105" spans="1:26">
      <c r="A105" s="185"/>
      <c r="B105" s="186"/>
      <c r="C105" s="186"/>
      <c r="D105" s="186"/>
      <c r="Y105" s="185"/>
      <c r="Z105" s="185"/>
    </row>
    <row r="106" spans="1:26">
      <c r="A106" s="185"/>
      <c r="B106" s="186"/>
      <c r="C106" s="186"/>
      <c r="D106" s="186"/>
      <c r="Y106" s="185"/>
      <c r="Z106" s="185"/>
    </row>
    <row r="107" spans="1:26">
      <c r="A107" s="185"/>
      <c r="B107" s="186"/>
      <c r="C107" s="186"/>
      <c r="D107" s="186"/>
      <c r="Y107" s="185"/>
      <c r="Z107" s="185"/>
    </row>
    <row r="108" spans="1:26">
      <c r="A108" s="185"/>
      <c r="B108" s="186"/>
      <c r="C108" s="186"/>
      <c r="D108" s="186"/>
      <c r="Y108" s="185"/>
      <c r="Z108" s="185"/>
    </row>
    <row r="109" spans="1:26">
      <c r="A109" s="185"/>
      <c r="B109" s="186"/>
      <c r="C109" s="186"/>
      <c r="D109" s="186"/>
      <c r="Y109" s="185"/>
      <c r="Z109" s="185"/>
    </row>
    <row r="110" spans="1:26">
      <c r="A110" s="185"/>
      <c r="B110" s="186"/>
      <c r="C110" s="186"/>
      <c r="D110" s="186"/>
      <c r="Y110" s="185"/>
      <c r="Z110" s="185"/>
    </row>
    <row r="111" spans="1:26">
      <c r="A111" s="185"/>
      <c r="B111" s="186"/>
      <c r="C111" s="186"/>
      <c r="D111" s="186"/>
      <c r="Y111" s="185"/>
      <c r="Z111" s="185"/>
    </row>
    <row r="112" spans="1:26">
      <c r="A112" s="185"/>
      <c r="B112" s="186"/>
      <c r="C112" s="186"/>
      <c r="D112" s="186"/>
      <c r="Y112" s="185"/>
      <c r="Z112" s="185"/>
    </row>
    <row r="113" spans="1:26">
      <c r="A113" s="185"/>
      <c r="B113" s="186"/>
      <c r="C113" s="186"/>
      <c r="D113" s="186"/>
      <c r="Y113" s="185"/>
      <c r="Z113" s="185"/>
    </row>
    <row r="114" spans="1:26">
      <c r="A114" s="185"/>
      <c r="B114" s="186"/>
      <c r="C114" s="186"/>
      <c r="D114" s="186"/>
      <c r="Y114" s="185"/>
      <c r="Z114" s="185"/>
    </row>
    <row r="115" spans="1:26">
      <c r="A115" s="185"/>
      <c r="B115" s="186"/>
      <c r="C115" s="186"/>
      <c r="D115" s="186"/>
      <c r="Y115" s="185"/>
      <c r="Z115" s="185"/>
    </row>
    <row r="116" spans="1:26">
      <c r="A116" s="185"/>
      <c r="B116" s="186"/>
      <c r="C116" s="186"/>
      <c r="D116" s="186"/>
      <c r="Y116" s="185"/>
      <c r="Z116" s="185"/>
    </row>
    <row r="117" spans="1:26">
      <c r="A117" s="185"/>
      <c r="B117" s="186"/>
      <c r="C117" s="186"/>
      <c r="D117" s="186"/>
      <c r="Y117" s="185"/>
      <c r="Z117" s="185"/>
    </row>
    <row r="118" spans="1:26">
      <c r="A118" s="185"/>
      <c r="B118" s="186"/>
      <c r="C118" s="186"/>
      <c r="D118" s="186"/>
      <c r="Y118" s="185"/>
      <c r="Z118" s="185"/>
    </row>
    <row r="119" spans="1:26">
      <c r="A119" s="185"/>
      <c r="B119" s="186"/>
      <c r="C119" s="186"/>
      <c r="D119" s="186"/>
      <c r="Y119" s="185"/>
      <c r="Z119" s="185"/>
    </row>
    <row r="120" spans="1:26">
      <c r="A120" s="185"/>
      <c r="B120" s="186"/>
      <c r="C120" s="186"/>
      <c r="D120" s="186"/>
      <c r="Y120" s="185"/>
      <c r="Z120" s="185"/>
    </row>
    <row r="121" spans="1:26">
      <c r="A121" s="185"/>
      <c r="B121" s="186"/>
      <c r="C121" s="186"/>
      <c r="D121" s="186"/>
      <c r="Y121" s="185"/>
      <c r="Z121" s="185"/>
    </row>
    <row r="122" spans="1:26">
      <c r="A122" s="185"/>
      <c r="B122" s="186"/>
      <c r="C122" s="186"/>
      <c r="D122" s="186"/>
      <c r="Y122" s="185"/>
      <c r="Z122" s="185"/>
    </row>
    <row r="123" spans="1:26">
      <c r="A123" s="185"/>
      <c r="B123" s="186"/>
      <c r="C123" s="186"/>
      <c r="D123" s="186"/>
      <c r="Y123" s="185"/>
      <c r="Z123" s="185"/>
    </row>
    <row r="124" spans="1:26">
      <c r="A124" s="185"/>
      <c r="B124" s="186"/>
      <c r="C124" s="186"/>
      <c r="D124" s="186"/>
      <c r="Y124" s="185"/>
      <c r="Z124" s="185"/>
    </row>
    <row r="125" spans="1:26">
      <c r="A125" s="185"/>
      <c r="B125" s="186"/>
      <c r="C125" s="186"/>
      <c r="D125" s="186"/>
      <c r="Y125" s="185"/>
      <c r="Z125" s="185"/>
    </row>
    <row r="126" spans="1:26">
      <c r="A126" s="185"/>
      <c r="B126" s="186"/>
      <c r="C126" s="186"/>
      <c r="D126" s="186"/>
      <c r="Y126" s="185"/>
      <c r="Z126" s="185"/>
    </row>
    <row r="127" spans="1:26">
      <c r="A127" s="185"/>
      <c r="B127" s="186"/>
      <c r="C127" s="186"/>
      <c r="D127" s="186"/>
      <c r="Y127" s="185"/>
      <c r="Z127" s="185"/>
    </row>
    <row r="128" spans="1:26">
      <c r="A128" s="185"/>
      <c r="B128" s="186"/>
      <c r="C128" s="186"/>
      <c r="D128" s="186"/>
      <c r="Y128" s="185"/>
      <c r="Z128" s="185"/>
    </row>
    <row r="129" spans="1:26">
      <c r="A129" s="185"/>
      <c r="B129" s="186"/>
      <c r="C129" s="186"/>
      <c r="D129" s="186"/>
      <c r="Y129" s="185"/>
      <c r="Z129" s="185"/>
    </row>
    <row r="130" spans="1:26">
      <c r="A130" s="185"/>
      <c r="B130" s="186"/>
      <c r="C130" s="186"/>
      <c r="D130" s="186"/>
      <c r="Y130" s="185"/>
      <c r="Z130" s="185"/>
    </row>
    <row r="131" spans="1:26">
      <c r="A131" s="185"/>
      <c r="B131" s="186"/>
      <c r="C131" s="186"/>
      <c r="D131" s="186"/>
      <c r="Y131" s="185"/>
      <c r="Z131" s="185"/>
    </row>
    <row r="132" spans="1:26">
      <c r="A132" s="185"/>
      <c r="B132" s="186"/>
      <c r="C132" s="186"/>
      <c r="D132" s="186"/>
      <c r="Y132" s="185"/>
      <c r="Z132" s="185"/>
    </row>
    <row r="133" spans="1:26">
      <c r="A133" s="185"/>
      <c r="B133" s="186"/>
      <c r="C133" s="186"/>
      <c r="D133" s="186"/>
      <c r="Y133" s="185"/>
      <c r="Z133" s="185"/>
    </row>
    <row r="134" spans="1:26">
      <c r="A134" s="185"/>
      <c r="B134" s="186"/>
      <c r="C134" s="186"/>
      <c r="D134" s="186"/>
      <c r="Y134" s="185"/>
      <c r="Z134" s="185"/>
    </row>
    <row r="135" spans="1:26">
      <c r="A135" s="185"/>
      <c r="B135" s="186"/>
      <c r="C135" s="186"/>
      <c r="D135" s="186"/>
      <c r="Y135" s="185"/>
      <c r="Z135" s="185"/>
    </row>
    <row r="136" spans="1:26">
      <c r="A136" s="185"/>
      <c r="B136" s="186"/>
      <c r="C136" s="186"/>
      <c r="D136" s="186"/>
      <c r="Y136" s="185"/>
      <c r="Z136" s="185"/>
    </row>
    <row r="137" spans="1:26">
      <c r="A137" s="185"/>
      <c r="B137" s="186"/>
      <c r="C137" s="186"/>
      <c r="D137" s="186"/>
      <c r="Y137" s="185"/>
      <c r="Z137" s="185"/>
    </row>
    <row r="138" spans="1:26">
      <c r="A138" s="185"/>
      <c r="B138" s="186"/>
      <c r="C138" s="186"/>
      <c r="D138" s="186"/>
      <c r="Y138" s="185"/>
      <c r="Z138" s="185"/>
    </row>
    <row r="139" spans="1:26">
      <c r="A139" s="185"/>
      <c r="B139" s="186"/>
      <c r="C139" s="186"/>
      <c r="D139" s="186"/>
      <c r="Y139" s="185"/>
      <c r="Z139" s="185"/>
    </row>
    <row r="140" spans="1:26">
      <c r="A140" s="185"/>
      <c r="B140" s="186"/>
      <c r="C140" s="186"/>
      <c r="D140" s="186"/>
      <c r="Y140" s="185"/>
      <c r="Z140" s="185"/>
    </row>
    <row r="141" spans="1:26">
      <c r="A141" s="185"/>
      <c r="B141" s="186"/>
      <c r="C141" s="186"/>
      <c r="D141" s="186"/>
      <c r="Y141" s="185"/>
      <c r="Z141" s="185"/>
    </row>
    <row r="142" spans="1:26">
      <c r="A142" s="185"/>
      <c r="B142" s="186"/>
      <c r="C142" s="186"/>
      <c r="D142" s="186"/>
      <c r="Y142" s="185"/>
      <c r="Z142" s="185"/>
    </row>
    <row r="143" spans="1:26">
      <c r="A143" s="185"/>
      <c r="B143" s="186"/>
      <c r="C143" s="186"/>
      <c r="D143" s="186"/>
      <c r="Y143" s="185"/>
      <c r="Z143" s="185"/>
    </row>
    <row r="144" spans="1:26">
      <c r="A144" s="185"/>
      <c r="B144" s="186"/>
      <c r="C144" s="186"/>
      <c r="D144" s="186"/>
      <c r="Y144" s="185"/>
      <c r="Z144" s="185"/>
    </row>
    <row r="145" spans="1:26">
      <c r="A145" s="185"/>
      <c r="B145" s="186"/>
      <c r="C145" s="186"/>
      <c r="D145" s="186"/>
      <c r="Y145" s="185"/>
      <c r="Z145" s="185"/>
    </row>
    <row r="146" spans="1:26">
      <c r="A146" s="185"/>
      <c r="B146" s="186"/>
      <c r="C146" s="186"/>
      <c r="D146" s="186"/>
      <c r="Y146" s="185"/>
      <c r="Z146" s="185"/>
    </row>
    <row r="147" spans="1:26">
      <c r="A147" s="185"/>
      <c r="B147" s="186"/>
      <c r="C147" s="186"/>
      <c r="D147" s="186"/>
      <c r="Y147" s="185"/>
      <c r="Z147" s="185"/>
    </row>
    <row r="148" spans="1:26">
      <c r="A148" s="185"/>
      <c r="B148" s="186"/>
      <c r="C148" s="186"/>
      <c r="D148" s="186"/>
      <c r="Y148" s="185"/>
      <c r="Z148" s="185"/>
    </row>
    <row r="149" spans="1:26">
      <c r="A149" s="185"/>
      <c r="B149" s="186"/>
      <c r="C149" s="186"/>
      <c r="D149" s="186"/>
      <c r="Y149" s="185"/>
      <c r="Z149" s="185"/>
    </row>
    <row r="150" spans="1:26">
      <c r="A150" s="185"/>
      <c r="B150" s="186"/>
      <c r="C150" s="186"/>
      <c r="D150" s="186"/>
      <c r="Y150" s="185"/>
      <c r="Z150" s="185"/>
    </row>
    <row r="151" spans="1:26">
      <c r="A151" s="185"/>
      <c r="B151" s="186"/>
      <c r="C151" s="186"/>
      <c r="D151" s="186"/>
      <c r="Y151" s="185"/>
      <c r="Z151" s="185"/>
    </row>
    <row r="152" spans="1:26">
      <c r="A152" s="185"/>
      <c r="B152" s="186"/>
      <c r="C152" s="186"/>
      <c r="D152" s="186"/>
      <c r="Y152" s="185"/>
      <c r="Z152" s="185"/>
    </row>
    <row r="153" spans="1:26">
      <c r="A153" s="185"/>
      <c r="B153" s="186"/>
      <c r="C153" s="186"/>
      <c r="D153" s="186"/>
      <c r="Y153" s="185"/>
      <c r="Z153" s="185"/>
    </row>
    <row r="154" spans="1:26">
      <c r="A154" s="185"/>
      <c r="B154" s="186"/>
      <c r="C154" s="186"/>
      <c r="D154" s="186"/>
      <c r="Y154" s="185"/>
      <c r="Z154" s="185"/>
    </row>
    <row r="155" spans="1:26">
      <c r="A155" s="185"/>
      <c r="B155" s="186"/>
      <c r="C155" s="186"/>
      <c r="D155" s="186"/>
      <c r="Y155" s="185"/>
      <c r="Z155" s="185"/>
    </row>
    <row r="156" spans="1:26">
      <c r="A156" s="185"/>
      <c r="B156" s="186"/>
      <c r="C156" s="186"/>
      <c r="D156" s="186"/>
      <c r="Y156" s="185"/>
      <c r="Z156" s="185"/>
    </row>
    <row r="157" spans="1:26">
      <c r="A157" s="185"/>
      <c r="B157" s="186"/>
      <c r="C157" s="186"/>
      <c r="D157" s="186"/>
      <c r="Y157" s="185"/>
      <c r="Z157" s="185"/>
    </row>
    <row r="158" spans="1:26">
      <c r="A158" s="185"/>
      <c r="B158" s="186"/>
      <c r="C158" s="186"/>
      <c r="D158" s="186"/>
      <c r="Y158" s="185"/>
      <c r="Z158" s="185"/>
    </row>
    <row r="159" spans="1:26">
      <c r="A159" s="185"/>
      <c r="B159" s="186"/>
      <c r="C159" s="186"/>
      <c r="D159" s="186"/>
      <c r="Y159" s="185"/>
      <c r="Z159" s="185"/>
    </row>
    <row r="160" spans="1:26">
      <c r="A160" s="185"/>
      <c r="B160" s="186"/>
      <c r="C160" s="186"/>
      <c r="D160" s="186"/>
      <c r="Y160" s="185"/>
      <c r="Z160" s="185"/>
    </row>
    <row r="161" spans="1:26">
      <c r="A161" s="185"/>
      <c r="B161" s="186"/>
      <c r="C161" s="186"/>
      <c r="D161" s="186"/>
      <c r="Y161" s="185"/>
      <c r="Z161" s="185"/>
    </row>
    <row r="162" spans="1:26">
      <c r="A162" s="185"/>
      <c r="B162" s="186"/>
      <c r="C162" s="186"/>
      <c r="D162" s="186"/>
      <c r="Y162" s="185"/>
      <c r="Z162" s="185"/>
    </row>
    <row r="163" spans="1:26">
      <c r="A163" s="185"/>
      <c r="B163" s="186"/>
      <c r="C163" s="186"/>
      <c r="D163" s="186"/>
      <c r="Y163" s="185"/>
      <c r="Z163" s="185"/>
    </row>
    <row r="164" spans="1:26">
      <c r="A164" s="185"/>
      <c r="B164" s="186"/>
      <c r="C164" s="186"/>
      <c r="D164" s="186"/>
      <c r="Y164" s="185"/>
      <c r="Z164" s="185"/>
    </row>
    <row r="165" spans="1:26">
      <c r="A165" s="185"/>
      <c r="B165" s="186"/>
      <c r="C165" s="186"/>
      <c r="D165" s="186"/>
      <c r="Y165" s="185"/>
      <c r="Z165" s="185"/>
    </row>
    <row r="166" spans="1:26">
      <c r="A166" s="185"/>
      <c r="B166" s="186"/>
      <c r="C166" s="186"/>
      <c r="D166" s="186"/>
      <c r="Y166" s="185"/>
      <c r="Z166" s="185"/>
    </row>
    <row r="167" spans="1:26">
      <c r="A167" s="185"/>
      <c r="B167" s="186"/>
      <c r="C167" s="186"/>
      <c r="D167" s="186"/>
      <c r="Y167" s="185"/>
      <c r="Z167" s="185"/>
    </row>
    <row r="168" spans="1:26">
      <c r="A168" s="185"/>
      <c r="B168" s="186"/>
      <c r="C168" s="186"/>
      <c r="D168" s="186"/>
      <c r="Y168" s="185"/>
      <c r="Z168" s="185"/>
    </row>
    <row r="169" spans="1:26">
      <c r="A169" s="185"/>
      <c r="B169" s="186"/>
      <c r="C169" s="186"/>
      <c r="D169" s="186"/>
      <c r="Y169" s="185"/>
      <c r="Z169" s="185"/>
    </row>
    <row r="170" spans="1:26">
      <c r="A170" s="185"/>
      <c r="B170" s="186"/>
      <c r="C170" s="186"/>
      <c r="D170" s="186"/>
      <c r="Y170" s="185"/>
      <c r="Z170" s="185"/>
    </row>
    <row r="171" spans="1:26">
      <c r="A171" s="185"/>
      <c r="B171" s="186"/>
      <c r="C171" s="186"/>
      <c r="D171" s="186"/>
      <c r="Y171" s="185"/>
      <c r="Z171" s="185"/>
    </row>
    <row r="172" spans="1:26">
      <c r="A172" s="185"/>
      <c r="B172" s="186"/>
      <c r="C172" s="186"/>
      <c r="D172" s="186"/>
      <c r="Y172" s="185"/>
      <c r="Z172" s="185"/>
    </row>
    <row r="173" spans="1:26">
      <c r="A173" s="185"/>
      <c r="B173" s="186"/>
      <c r="C173" s="186"/>
      <c r="D173" s="186"/>
      <c r="Y173" s="185"/>
      <c r="Z173" s="185"/>
    </row>
    <row r="174" spans="1:26">
      <c r="A174" s="185"/>
      <c r="B174" s="186"/>
      <c r="C174" s="186"/>
      <c r="D174" s="186"/>
      <c r="Y174" s="185"/>
      <c r="Z174" s="185"/>
    </row>
    <row r="175" spans="1:26">
      <c r="A175" s="185"/>
      <c r="B175" s="186"/>
      <c r="C175" s="186"/>
      <c r="D175" s="186"/>
      <c r="Y175" s="185"/>
      <c r="Z175" s="185"/>
    </row>
    <row r="176" spans="1:26">
      <c r="A176" s="185"/>
      <c r="B176" s="186"/>
      <c r="C176" s="186"/>
      <c r="D176" s="186"/>
      <c r="Y176" s="185"/>
      <c r="Z176" s="185"/>
    </row>
    <row r="177" spans="1:26">
      <c r="A177" s="185"/>
      <c r="B177" s="186"/>
      <c r="C177" s="186"/>
      <c r="D177" s="186"/>
      <c r="Y177" s="185"/>
      <c r="Z177" s="185"/>
    </row>
    <row r="178" spans="1:26">
      <c r="A178" s="185"/>
      <c r="B178" s="186"/>
      <c r="C178" s="186"/>
      <c r="D178" s="186"/>
      <c r="Y178" s="185"/>
      <c r="Z178" s="185"/>
    </row>
    <row r="179" spans="1:26">
      <c r="A179" s="185"/>
      <c r="B179" s="186"/>
      <c r="C179" s="186"/>
      <c r="D179" s="186"/>
      <c r="Y179" s="185"/>
      <c r="Z179" s="185"/>
    </row>
    <row r="180" spans="1:26">
      <c r="A180" s="185"/>
      <c r="B180" s="186"/>
      <c r="C180" s="186"/>
      <c r="D180" s="186"/>
      <c r="Y180" s="185"/>
      <c r="Z180" s="185"/>
    </row>
    <row r="181" spans="1:26">
      <c r="A181" s="185"/>
      <c r="B181" s="186"/>
      <c r="C181" s="186"/>
      <c r="D181" s="186"/>
      <c r="Y181" s="185"/>
      <c r="Z181" s="185"/>
    </row>
    <row r="182" spans="1:26">
      <c r="A182" s="185"/>
      <c r="B182" s="186"/>
      <c r="C182" s="186"/>
      <c r="D182" s="186"/>
      <c r="Y182" s="185"/>
      <c r="Z182" s="185"/>
    </row>
    <row r="183" spans="1:26">
      <c r="A183" s="185"/>
      <c r="B183" s="186"/>
      <c r="C183" s="186"/>
      <c r="D183" s="186"/>
      <c r="Y183" s="185"/>
      <c r="Z183" s="185"/>
    </row>
    <row r="184" spans="1:26">
      <c r="A184" s="185"/>
      <c r="B184" s="186"/>
      <c r="C184" s="186"/>
      <c r="D184" s="186"/>
      <c r="Y184" s="185"/>
      <c r="Z184" s="185"/>
    </row>
    <row r="185" spans="1:26">
      <c r="A185" s="185"/>
      <c r="B185" s="186"/>
      <c r="C185" s="186"/>
      <c r="D185" s="186"/>
      <c r="Y185" s="185"/>
      <c r="Z185" s="185"/>
    </row>
    <row r="186" spans="1:26">
      <c r="A186" s="185"/>
      <c r="B186" s="186"/>
      <c r="C186" s="186"/>
      <c r="D186" s="186"/>
      <c r="Y186" s="185"/>
      <c r="Z186" s="185"/>
    </row>
    <row r="187" spans="1:26">
      <c r="A187" s="185"/>
      <c r="B187" s="186"/>
      <c r="C187" s="186"/>
      <c r="D187" s="186"/>
      <c r="Y187" s="185"/>
      <c r="Z187" s="185"/>
    </row>
    <row r="188" spans="1:26">
      <c r="A188" s="185"/>
      <c r="B188" s="186"/>
      <c r="C188" s="186"/>
      <c r="D188" s="186"/>
      <c r="Y188" s="185"/>
      <c r="Z188" s="185"/>
    </row>
    <row r="189" spans="1:26">
      <c r="A189" s="185"/>
      <c r="B189" s="186"/>
      <c r="C189" s="186"/>
      <c r="D189" s="186"/>
      <c r="Y189" s="185"/>
      <c r="Z189" s="185"/>
    </row>
    <row r="190" spans="1:26">
      <c r="A190" s="185"/>
      <c r="B190" s="186"/>
      <c r="C190" s="186"/>
      <c r="D190" s="186"/>
      <c r="Y190" s="185"/>
      <c r="Z190" s="185"/>
    </row>
    <row r="191" spans="1:26">
      <c r="A191" s="185"/>
      <c r="B191" s="186"/>
      <c r="C191" s="186"/>
      <c r="D191" s="186"/>
      <c r="Y191" s="185"/>
      <c r="Z191" s="185"/>
    </row>
    <row r="192" spans="1:26">
      <c r="A192" s="185"/>
      <c r="B192" s="186"/>
      <c r="C192" s="186"/>
      <c r="D192" s="186"/>
      <c r="Y192" s="185"/>
      <c r="Z192" s="185"/>
    </row>
    <row r="193" spans="1:26">
      <c r="A193" s="185"/>
      <c r="B193" s="186"/>
      <c r="C193" s="186"/>
      <c r="D193" s="186"/>
      <c r="Y193" s="185"/>
      <c r="Z193" s="185"/>
    </row>
    <row r="194" spans="1:26">
      <c r="A194" s="185"/>
      <c r="B194" s="186"/>
      <c r="C194" s="186"/>
      <c r="D194" s="186"/>
      <c r="Y194" s="185"/>
      <c r="Z194" s="185"/>
    </row>
    <row r="195" spans="1:26">
      <c r="A195" s="185"/>
      <c r="B195" s="186"/>
      <c r="C195" s="186"/>
      <c r="D195" s="186"/>
      <c r="Y195" s="185"/>
      <c r="Z195" s="185"/>
    </row>
    <row r="196" spans="1:26">
      <c r="A196" s="185"/>
      <c r="B196" s="186"/>
      <c r="C196" s="186"/>
      <c r="D196" s="186"/>
      <c r="Y196" s="185"/>
      <c r="Z196" s="185"/>
    </row>
    <row r="197" spans="1:26">
      <c r="A197" s="185"/>
      <c r="B197" s="186"/>
      <c r="C197" s="186"/>
      <c r="D197" s="186"/>
      <c r="Y197" s="185"/>
      <c r="Z197" s="185"/>
    </row>
    <row r="198" spans="1:26">
      <c r="A198" s="185"/>
      <c r="B198" s="186"/>
      <c r="C198" s="186"/>
      <c r="D198" s="186"/>
      <c r="Y198" s="185"/>
      <c r="Z198" s="185"/>
    </row>
    <row r="199" spans="1:26">
      <c r="A199" s="185"/>
      <c r="B199" s="186"/>
      <c r="C199" s="186"/>
      <c r="D199" s="186"/>
      <c r="Y199" s="185"/>
      <c r="Z199" s="185"/>
    </row>
    <row r="200" spans="1:26">
      <c r="A200" s="185"/>
      <c r="B200" s="186"/>
      <c r="C200" s="186"/>
      <c r="D200" s="186"/>
      <c r="Y200" s="185"/>
      <c r="Z200" s="185"/>
    </row>
    <row r="201" spans="1:26">
      <c r="A201" s="185"/>
      <c r="B201" s="186"/>
      <c r="C201" s="186"/>
      <c r="D201" s="186"/>
      <c r="Y201" s="185"/>
      <c r="Z201" s="185"/>
    </row>
    <row r="202" spans="1:26">
      <c r="A202" s="185"/>
      <c r="B202" s="186"/>
      <c r="C202" s="186"/>
      <c r="D202" s="186"/>
      <c r="Y202" s="185"/>
      <c r="Z202" s="185"/>
    </row>
    <row r="203" spans="1:26">
      <c r="A203" s="185"/>
      <c r="B203" s="186"/>
      <c r="C203" s="186"/>
      <c r="D203" s="186"/>
      <c r="Y203" s="185"/>
      <c r="Z203" s="185"/>
    </row>
    <row r="204" spans="1:26">
      <c r="A204" s="185"/>
      <c r="B204" s="186"/>
      <c r="C204" s="186"/>
      <c r="D204" s="186"/>
      <c r="Y204" s="185"/>
      <c r="Z204" s="185"/>
    </row>
    <row r="205" spans="1:26">
      <c r="A205" s="185"/>
      <c r="B205" s="186"/>
      <c r="C205" s="186"/>
      <c r="D205" s="186"/>
      <c r="Y205" s="185"/>
      <c r="Z205" s="185"/>
    </row>
    <row r="206" spans="1:26">
      <c r="A206" s="185"/>
      <c r="B206" s="186"/>
      <c r="C206" s="186"/>
      <c r="D206" s="186"/>
      <c r="Y206" s="185"/>
      <c r="Z206" s="185"/>
    </row>
    <row r="207" spans="1:26">
      <c r="A207" s="185"/>
      <c r="B207" s="186"/>
      <c r="C207" s="186"/>
      <c r="D207" s="186"/>
      <c r="Y207" s="185"/>
      <c r="Z207" s="185"/>
    </row>
    <row r="208" spans="1:26">
      <c r="A208" s="185"/>
      <c r="B208" s="186"/>
      <c r="C208" s="186"/>
      <c r="D208" s="186"/>
      <c r="Y208" s="185"/>
      <c r="Z208" s="185"/>
    </row>
    <row r="209" spans="1:26">
      <c r="A209" s="185"/>
      <c r="B209" s="186"/>
      <c r="C209" s="186"/>
      <c r="D209" s="186"/>
      <c r="Y209" s="185"/>
      <c r="Z209" s="185"/>
    </row>
    <row r="210" spans="1:26">
      <c r="A210" s="185"/>
      <c r="B210" s="186"/>
      <c r="C210" s="186"/>
      <c r="D210" s="186"/>
      <c r="Y210" s="185"/>
      <c r="Z210" s="185"/>
    </row>
  </sheetData>
  <autoFilter ref="A3:X48"/>
  <phoneticPr fontId="2" type="noConversion"/>
  <conditionalFormatting sqref="B1:B2">
    <cfRule type="expression" dxfId="88" priority="1" stopIfTrue="1">
      <formula>B1&lt;COUNTA(B4:B100)</formula>
    </cfRule>
  </conditionalFormatting>
  <conditionalFormatting sqref="H3:H48 J3:X48 J1:X1 H1 E1:F1 E3:F48">
    <cfRule type="expression" dxfId="87" priority="2" stopIfTrue="1">
      <formula>E$1=$D$1</formula>
    </cfRule>
  </conditionalFormatting>
  <conditionalFormatting sqref="I3:I48 I1 G1 G3:G48">
    <cfRule type="expression" dxfId="86" priority="3" stopIfTrue="1">
      <formula>F$1=$D$1</formula>
    </cfRule>
  </conditionalFormatting>
  <conditionalFormatting sqref="B4:B48">
    <cfRule type="expression" dxfId="85" priority="4" stopIfTrue="1">
      <formula>LEFT(D4)&gt;RIGHT(D4)</formula>
    </cfRule>
    <cfRule type="expression" dxfId="84" priority="5" stopIfTrue="1">
      <formula>LEFT(D4)&lt;RIGHT(D4)</formula>
    </cfRule>
  </conditionalFormatting>
  <conditionalFormatting sqref="E2:F2 H2 J2:X2">
    <cfRule type="expression" dxfId="83" priority="6" stopIfTrue="1">
      <formula>E$1=$D$1</formula>
    </cfRule>
  </conditionalFormatting>
  <conditionalFormatting sqref="G2 I2">
    <cfRule type="expression" dxfId="82" priority="7" stopIfTrue="1">
      <formula>F$1=$D$1</formula>
    </cfRule>
  </conditionalFormatting>
  <pageMargins left="0.63" right="0.25" top="0.41" bottom="0.16" header="0.28999999999999998" footer="0.16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33"/>
  <sheetViews>
    <sheetView showGridLines="0" workbookViewId="0">
      <pane ySplit="1" topLeftCell="A80" activePane="bottomLeft" state="frozen"/>
      <selection pane="bottomLeft" activeCell="G81" sqref="G81"/>
    </sheetView>
  </sheetViews>
  <sheetFormatPr baseColWidth="10" defaultRowHeight="14.25"/>
  <cols>
    <col min="1" max="1" width="2.42578125" style="1" customWidth="1"/>
    <col min="2" max="2" width="14.85546875" style="50" customWidth="1"/>
    <col min="3" max="3" width="4.42578125" style="1" customWidth="1"/>
    <col min="4" max="4" width="15.140625" style="3" customWidth="1"/>
    <col min="5" max="5" width="15" style="3" customWidth="1"/>
    <col min="6" max="6" width="3.85546875" style="1" customWidth="1"/>
    <col min="7" max="7" width="4.140625" style="1" customWidth="1"/>
    <col min="8" max="8" width="18" style="59" customWidth="1"/>
    <col min="9" max="9" width="3.42578125" style="1" customWidth="1"/>
    <col min="10" max="10" width="17.28515625" style="1" customWidth="1"/>
    <col min="11" max="11" width="5.42578125" style="1" customWidth="1"/>
    <col min="12" max="12" width="8.42578125" style="1" customWidth="1"/>
    <col min="13" max="13" width="5.28515625" style="1" customWidth="1"/>
    <col min="14" max="14" width="3.42578125" style="1" customWidth="1"/>
    <col min="15" max="15" width="4" style="1" customWidth="1"/>
    <col min="16" max="18" width="2.7109375" style="22" customWidth="1"/>
    <col min="19" max="19" width="11.42578125" style="1"/>
    <col min="20" max="20" width="10.85546875" style="1" customWidth="1"/>
    <col min="21" max="16384" width="11.42578125" style="1"/>
  </cols>
  <sheetData>
    <row r="1" spans="1:20" s="96" customFormat="1" ht="23.25" customHeight="1">
      <c r="A1" s="94"/>
      <c r="B1" s="95" t="s">
        <v>73</v>
      </c>
      <c r="D1" s="97"/>
      <c r="E1" s="98"/>
      <c r="F1" s="99"/>
      <c r="G1" s="99"/>
      <c r="H1" s="100"/>
      <c r="I1" s="101" t="s">
        <v>360</v>
      </c>
      <c r="J1" s="99"/>
      <c r="K1" s="99"/>
      <c r="N1" s="99"/>
      <c r="P1" s="102"/>
      <c r="Q1" s="102"/>
      <c r="R1" s="102"/>
      <c r="T1" s="128" t="s">
        <v>359</v>
      </c>
    </row>
    <row r="2" spans="1:20" ht="15" customHeight="1" thickBot="1">
      <c r="B2" s="2"/>
      <c r="E2" s="4"/>
      <c r="I2" s="40"/>
      <c r="S2" s="40"/>
    </row>
    <row r="3" spans="1:20" ht="18">
      <c r="B3" s="47" t="s">
        <v>0</v>
      </c>
      <c r="C3" s="1">
        <v>1</v>
      </c>
      <c r="D3" s="46" t="s">
        <v>61</v>
      </c>
      <c r="E3" s="46" t="s">
        <v>38</v>
      </c>
      <c r="F3" s="69">
        <v>1</v>
      </c>
      <c r="G3" s="70">
        <v>1</v>
      </c>
      <c r="H3" s="246" t="s">
        <v>441</v>
      </c>
      <c r="I3" s="7"/>
      <c r="J3" s="8"/>
      <c r="K3" s="9" t="s">
        <v>1</v>
      </c>
      <c r="L3" s="9" t="s">
        <v>2</v>
      </c>
      <c r="M3" s="10" t="s">
        <v>3</v>
      </c>
      <c r="N3" s="11" t="s">
        <v>4</v>
      </c>
      <c r="O3" s="12" t="s">
        <v>5</v>
      </c>
      <c r="P3" s="64" t="s">
        <v>6</v>
      </c>
      <c r="Q3" s="64" t="s">
        <v>7</v>
      </c>
      <c r="R3" s="65" t="s">
        <v>8</v>
      </c>
    </row>
    <row r="4" spans="1:20">
      <c r="B4" s="48"/>
      <c r="C4" s="1">
        <v>2</v>
      </c>
      <c r="D4" s="46" t="s">
        <v>72</v>
      </c>
      <c r="E4" s="46" t="s">
        <v>48</v>
      </c>
      <c r="F4" s="69">
        <v>0</v>
      </c>
      <c r="G4" s="70">
        <v>0</v>
      </c>
      <c r="H4" s="246" t="s">
        <v>442</v>
      </c>
      <c r="I4" s="16"/>
      <c r="J4" s="17"/>
      <c r="K4" s="14"/>
      <c r="L4" s="17"/>
      <c r="M4" s="18"/>
      <c r="N4" s="18"/>
      <c r="O4" s="19"/>
      <c r="R4" s="66"/>
    </row>
    <row r="5" spans="1:20" ht="15">
      <c r="A5" s="71"/>
      <c r="B5" s="72" t="s">
        <v>61</v>
      </c>
      <c r="C5" s="1">
        <v>3</v>
      </c>
      <c r="D5" s="46" t="s">
        <v>72</v>
      </c>
      <c r="E5" s="46" t="s">
        <v>61</v>
      </c>
      <c r="F5" s="69">
        <v>3</v>
      </c>
      <c r="G5" s="70">
        <v>0</v>
      </c>
      <c r="H5" s="246" t="s">
        <v>443</v>
      </c>
      <c r="I5" s="23">
        <v>1</v>
      </c>
      <c r="J5" s="24" t="s">
        <v>72</v>
      </c>
      <c r="K5" s="22">
        <v>3</v>
      </c>
      <c r="L5" s="25" t="s">
        <v>125</v>
      </c>
      <c r="M5" s="18">
        <v>4</v>
      </c>
      <c r="N5" s="18">
        <v>4</v>
      </c>
      <c r="O5" s="19">
        <v>0</v>
      </c>
      <c r="P5" s="51">
        <v>2</v>
      </c>
      <c r="Q5" s="22">
        <v>1</v>
      </c>
      <c r="R5" s="66">
        <v>0</v>
      </c>
    </row>
    <row r="6" spans="1:20" ht="15">
      <c r="A6" s="71"/>
      <c r="B6" s="72" t="s">
        <v>38</v>
      </c>
      <c r="C6" s="1">
        <v>4</v>
      </c>
      <c r="D6" s="46" t="s">
        <v>48</v>
      </c>
      <c r="E6" s="46" t="s">
        <v>38</v>
      </c>
      <c r="F6" s="69">
        <v>0</v>
      </c>
      <c r="G6" s="70">
        <v>2</v>
      </c>
      <c r="H6" s="246" t="s">
        <v>444</v>
      </c>
      <c r="I6" s="23">
        <v>2</v>
      </c>
      <c r="J6" s="24" t="s">
        <v>38</v>
      </c>
      <c r="K6" s="22">
        <v>3</v>
      </c>
      <c r="L6" s="25" t="s">
        <v>129</v>
      </c>
      <c r="M6" s="18">
        <v>1</v>
      </c>
      <c r="N6" s="18">
        <v>3</v>
      </c>
      <c r="O6" s="19">
        <v>-2</v>
      </c>
      <c r="P6" s="51">
        <v>1</v>
      </c>
      <c r="Q6" s="22">
        <v>1</v>
      </c>
      <c r="R6" s="66">
        <v>1</v>
      </c>
    </row>
    <row r="7" spans="1:20" ht="15">
      <c r="A7" s="71"/>
      <c r="B7" s="72" t="s">
        <v>72</v>
      </c>
      <c r="C7" s="1">
        <v>5</v>
      </c>
      <c r="D7" s="46" t="s">
        <v>38</v>
      </c>
      <c r="E7" s="46" t="s">
        <v>72</v>
      </c>
      <c r="F7" s="69">
        <v>0</v>
      </c>
      <c r="G7" s="70">
        <v>1</v>
      </c>
      <c r="H7" s="246" t="s">
        <v>445</v>
      </c>
      <c r="I7" s="23">
        <v>3</v>
      </c>
      <c r="J7" s="24" t="s">
        <v>61</v>
      </c>
      <c r="K7" s="22">
        <v>3</v>
      </c>
      <c r="L7" s="25" t="s">
        <v>129</v>
      </c>
      <c r="M7" s="18">
        <v>-2</v>
      </c>
      <c r="N7" s="18">
        <v>3</v>
      </c>
      <c r="O7" s="19">
        <v>-5</v>
      </c>
      <c r="P7" s="51">
        <v>1</v>
      </c>
      <c r="Q7" s="22">
        <v>1</v>
      </c>
      <c r="R7" s="66">
        <v>1</v>
      </c>
    </row>
    <row r="8" spans="1:20" ht="15.75" thickBot="1">
      <c r="A8" s="71"/>
      <c r="B8" s="72" t="s">
        <v>48</v>
      </c>
      <c r="C8" s="1">
        <v>6</v>
      </c>
      <c r="D8" s="46" t="s">
        <v>48</v>
      </c>
      <c r="E8" s="46" t="s">
        <v>61</v>
      </c>
      <c r="F8" s="69">
        <v>1</v>
      </c>
      <c r="G8" s="70">
        <v>2</v>
      </c>
      <c r="H8" s="246" t="s">
        <v>445</v>
      </c>
      <c r="I8" s="26">
        <v>4</v>
      </c>
      <c r="J8" s="27" t="s">
        <v>48</v>
      </c>
      <c r="K8" s="35">
        <v>3</v>
      </c>
      <c r="L8" s="29" t="s">
        <v>124</v>
      </c>
      <c r="M8" s="30">
        <v>-3</v>
      </c>
      <c r="N8" s="30">
        <v>1</v>
      </c>
      <c r="O8" s="31">
        <v>-4</v>
      </c>
      <c r="P8" s="67">
        <v>0</v>
      </c>
      <c r="Q8" s="35">
        <v>1</v>
      </c>
      <c r="R8" s="68">
        <v>2</v>
      </c>
    </row>
    <row r="9" spans="1:20" ht="15">
      <c r="B9" s="57"/>
      <c r="C9" s="14"/>
      <c r="D9" s="14"/>
      <c r="E9" s="14"/>
      <c r="F9" s="14"/>
      <c r="G9" s="14"/>
      <c r="I9" s="40" t="s">
        <v>106</v>
      </c>
    </row>
    <row r="10" spans="1:20" ht="15" thickBot="1">
      <c r="B10" s="48"/>
      <c r="F10" s="3"/>
      <c r="G10" s="3"/>
    </row>
    <row r="11" spans="1:20" ht="18">
      <c r="B11" s="47" t="s">
        <v>18</v>
      </c>
      <c r="C11" s="1">
        <v>1</v>
      </c>
      <c r="D11" s="46" t="s">
        <v>36</v>
      </c>
      <c r="E11" s="46" t="s">
        <v>67</v>
      </c>
      <c r="F11" s="69">
        <v>1</v>
      </c>
      <c r="G11" s="70">
        <v>0</v>
      </c>
      <c r="H11" s="59" t="s">
        <v>76</v>
      </c>
      <c r="I11" s="7"/>
      <c r="J11" s="8"/>
      <c r="K11" s="9" t="s">
        <v>1</v>
      </c>
      <c r="L11" s="9" t="s">
        <v>2</v>
      </c>
      <c r="M11" s="10" t="s">
        <v>3</v>
      </c>
      <c r="N11" s="11" t="s">
        <v>4</v>
      </c>
      <c r="O11" s="12" t="s">
        <v>5</v>
      </c>
      <c r="P11" s="64" t="s">
        <v>6</v>
      </c>
      <c r="Q11" s="64" t="s">
        <v>7</v>
      </c>
      <c r="R11" s="65" t="s">
        <v>8</v>
      </c>
    </row>
    <row r="12" spans="1:20">
      <c r="B12" s="48"/>
      <c r="C12" s="1">
        <v>2</v>
      </c>
      <c r="D12" s="46" t="s">
        <v>60</v>
      </c>
      <c r="E12" s="46" t="s">
        <v>70</v>
      </c>
      <c r="F12" s="69">
        <v>2</v>
      </c>
      <c r="G12" s="70">
        <v>0</v>
      </c>
      <c r="H12" s="59" t="s">
        <v>97</v>
      </c>
      <c r="I12" s="16"/>
      <c r="J12" s="17"/>
      <c r="K12" s="14"/>
      <c r="L12" s="17"/>
      <c r="M12" s="18"/>
      <c r="N12" s="18"/>
      <c r="O12" s="19"/>
      <c r="R12" s="66"/>
    </row>
    <row r="13" spans="1:20" ht="15">
      <c r="A13" s="71"/>
      <c r="B13" s="72" t="s">
        <v>36</v>
      </c>
      <c r="C13" s="1">
        <v>3</v>
      </c>
      <c r="D13" s="46" t="s">
        <v>60</v>
      </c>
      <c r="E13" s="46" t="s">
        <v>36</v>
      </c>
      <c r="F13" s="69">
        <v>1</v>
      </c>
      <c r="G13" s="70">
        <v>4</v>
      </c>
      <c r="H13" s="59" t="s">
        <v>74</v>
      </c>
      <c r="I13" s="23">
        <v>1</v>
      </c>
      <c r="J13" s="24" t="s">
        <v>36</v>
      </c>
      <c r="K13" s="22">
        <v>3</v>
      </c>
      <c r="L13" s="25" t="s">
        <v>122</v>
      </c>
      <c r="M13" s="18">
        <v>6</v>
      </c>
      <c r="N13" s="18">
        <v>7</v>
      </c>
      <c r="O13" s="19">
        <v>-1</v>
      </c>
      <c r="P13" s="51">
        <v>3</v>
      </c>
      <c r="Q13" s="22">
        <v>0</v>
      </c>
      <c r="R13" s="66">
        <v>0</v>
      </c>
    </row>
    <row r="14" spans="1:20" ht="15">
      <c r="A14" s="71"/>
      <c r="B14" s="72" t="s">
        <v>67</v>
      </c>
      <c r="C14" s="1">
        <v>4</v>
      </c>
      <c r="D14" s="46" t="s">
        <v>70</v>
      </c>
      <c r="E14" s="46" t="s">
        <v>67</v>
      </c>
      <c r="F14" s="69">
        <v>2</v>
      </c>
      <c r="G14" s="70">
        <v>1</v>
      </c>
      <c r="H14" s="59" t="s">
        <v>108</v>
      </c>
      <c r="I14" s="23">
        <v>2</v>
      </c>
      <c r="J14" s="24" t="s">
        <v>60</v>
      </c>
      <c r="K14" s="22">
        <v>3</v>
      </c>
      <c r="L14" s="25" t="s">
        <v>129</v>
      </c>
      <c r="M14" s="18">
        <v>-1</v>
      </c>
      <c r="N14" s="18">
        <v>5</v>
      </c>
      <c r="O14" s="19">
        <v>-6</v>
      </c>
      <c r="P14" s="51">
        <v>1</v>
      </c>
      <c r="Q14" s="22">
        <v>1</v>
      </c>
      <c r="R14" s="66">
        <v>1</v>
      </c>
    </row>
    <row r="15" spans="1:20" ht="15">
      <c r="A15" s="71"/>
      <c r="B15" s="72" t="s">
        <v>60</v>
      </c>
      <c r="C15" s="1">
        <v>5</v>
      </c>
      <c r="D15" s="46" t="s">
        <v>67</v>
      </c>
      <c r="E15" s="46" t="s">
        <v>60</v>
      </c>
      <c r="F15" s="69">
        <v>2</v>
      </c>
      <c r="G15" s="70">
        <v>2</v>
      </c>
      <c r="H15" s="59" t="s">
        <v>107</v>
      </c>
      <c r="I15" s="23">
        <v>3</v>
      </c>
      <c r="J15" s="24" t="s">
        <v>70</v>
      </c>
      <c r="K15" s="22">
        <v>3</v>
      </c>
      <c r="L15" s="25" t="s">
        <v>127</v>
      </c>
      <c r="M15" s="18">
        <v>-3</v>
      </c>
      <c r="N15" s="18">
        <v>2</v>
      </c>
      <c r="O15" s="19">
        <v>-5</v>
      </c>
      <c r="P15" s="51">
        <v>1</v>
      </c>
      <c r="Q15" s="22">
        <v>0</v>
      </c>
      <c r="R15" s="66">
        <v>2</v>
      </c>
    </row>
    <row r="16" spans="1:20" ht="15.75" thickBot="1">
      <c r="A16" s="71"/>
      <c r="B16" s="72" t="s">
        <v>70</v>
      </c>
      <c r="C16" s="1">
        <v>6</v>
      </c>
      <c r="D16" s="46" t="s">
        <v>70</v>
      </c>
      <c r="E16" s="46" t="s">
        <v>36</v>
      </c>
      <c r="F16" s="69">
        <v>0</v>
      </c>
      <c r="G16" s="70">
        <v>2</v>
      </c>
      <c r="H16" s="59" t="s">
        <v>107</v>
      </c>
      <c r="I16" s="26">
        <v>4</v>
      </c>
      <c r="J16" s="27" t="s">
        <v>67</v>
      </c>
      <c r="K16" s="35">
        <v>3</v>
      </c>
      <c r="L16" s="29" t="s">
        <v>124</v>
      </c>
      <c r="M16" s="30">
        <v>-2</v>
      </c>
      <c r="N16" s="30">
        <v>3</v>
      </c>
      <c r="O16" s="31">
        <v>-5</v>
      </c>
      <c r="P16" s="67">
        <v>0</v>
      </c>
      <c r="Q16" s="35">
        <v>1</v>
      </c>
      <c r="R16" s="68">
        <v>2</v>
      </c>
    </row>
    <row r="17" spans="1:18" ht="15">
      <c r="B17" s="48"/>
      <c r="D17" s="14"/>
      <c r="E17" s="14"/>
      <c r="F17" s="14"/>
      <c r="G17" s="14"/>
      <c r="I17" s="40" t="s">
        <v>106</v>
      </c>
      <c r="J17" s="24"/>
      <c r="K17" s="22"/>
      <c r="L17" s="25"/>
      <c r="M17" s="18"/>
    </row>
    <row r="18" spans="1:18" ht="15" thickBot="1">
      <c r="A18" s="1" t="s">
        <v>106</v>
      </c>
      <c r="B18" s="48"/>
      <c r="C18" s="14"/>
      <c r="D18" s="14"/>
      <c r="E18" s="14"/>
      <c r="F18" s="14"/>
      <c r="G18" s="14"/>
    </row>
    <row r="19" spans="1:18" ht="18">
      <c r="B19" s="47" t="s">
        <v>19</v>
      </c>
      <c r="C19" s="1">
        <v>1</v>
      </c>
      <c r="D19" s="46" t="s">
        <v>33</v>
      </c>
      <c r="E19" s="46" t="s">
        <v>44</v>
      </c>
      <c r="F19" s="69">
        <v>1</v>
      </c>
      <c r="G19" s="70">
        <v>1</v>
      </c>
      <c r="H19" s="59" t="s">
        <v>77</v>
      </c>
      <c r="I19" s="7"/>
      <c r="J19" s="8"/>
      <c r="K19" s="9" t="s">
        <v>1</v>
      </c>
      <c r="L19" s="9" t="s">
        <v>2</v>
      </c>
      <c r="M19" s="10" t="s">
        <v>3</v>
      </c>
      <c r="N19" s="11" t="s">
        <v>4</v>
      </c>
      <c r="O19" s="12" t="s">
        <v>5</v>
      </c>
      <c r="P19" s="64" t="s">
        <v>6</v>
      </c>
      <c r="Q19" s="64" t="s">
        <v>7</v>
      </c>
      <c r="R19" s="65" t="s">
        <v>8</v>
      </c>
    </row>
    <row r="20" spans="1:18">
      <c r="B20" s="48"/>
      <c r="C20" s="1">
        <v>2</v>
      </c>
      <c r="D20" s="46" t="s">
        <v>69</v>
      </c>
      <c r="E20" s="46" t="s">
        <v>71</v>
      </c>
      <c r="F20" s="69">
        <v>0</v>
      </c>
      <c r="G20" s="70">
        <v>1</v>
      </c>
      <c r="H20" s="59" t="s">
        <v>98</v>
      </c>
      <c r="I20" s="16"/>
      <c r="J20" s="17"/>
      <c r="K20" s="14"/>
      <c r="L20" s="17"/>
      <c r="M20" s="18"/>
      <c r="N20" s="18"/>
      <c r="O20" s="19"/>
      <c r="R20" s="66"/>
    </row>
    <row r="21" spans="1:18" ht="15">
      <c r="A21" s="71"/>
      <c r="B21" s="72" t="s">
        <v>33</v>
      </c>
      <c r="C21" s="1">
        <v>3</v>
      </c>
      <c r="D21" s="46" t="s">
        <v>71</v>
      </c>
      <c r="E21" s="46" t="s">
        <v>44</v>
      </c>
      <c r="F21" s="69">
        <v>2</v>
      </c>
      <c r="G21" s="70">
        <v>2</v>
      </c>
      <c r="H21" s="59" t="s">
        <v>110</v>
      </c>
      <c r="I21" s="23">
        <v>1</v>
      </c>
      <c r="J21" s="24" t="s">
        <v>44</v>
      </c>
      <c r="K21" s="22">
        <v>3</v>
      </c>
      <c r="L21" s="25" t="s">
        <v>126</v>
      </c>
      <c r="M21" s="18">
        <v>1</v>
      </c>
      <c r="N21" s="18">
        <v>4</v>
      </c>
      <c r="O21" s="19">
        <v>-3</v>
      </c>
      <c r="P21" s="51">
        <v>1</v>
      </c>
      <c r="Q21" s="22">
        <v>2</v>
      </c>
      <c r="R21" s="66">
        <v>0</v>
      </c>
    </row>
    <row r="22" spans="1:18" ht="15">
      <c r="A22" s="71"/>
      <c r="B22" s="72" t="s">
        <v>44</v>
      </c>
      <c r="C22" s="1">
        <v>4</v>
      </c>
      <c r="D22" s="46" t="s">
        <v>69</v>
      </c>
      <c r="E22" s="46" t="s">
        <v>33</v>
      </c>
      <c r="F22" s="69">
        <v>0</v>
      </c>
      <c r="G22" s="70">
        <v>0</v>
      </c>
      <c r="H22" s="246" t="s">
        <v>440</v>
      </c>
      <c r="I22" s="23">
        <v>2</v>
      </c>
      <c r="J22" s="24" t="s">
        <v>33</v>
      </c>
      <c r="K22" s="22">
        <v>3</v>
      </c>
      <c r="L22" s="25" t="s">
        <v>126</v>
      </c>
      <c r="M22" s="18">
        <v>1</v>
      </c>
      <c r="N22" s="18">
        <v>2</v>
      </c>
      <c r="O22" s="19">
        <v>-1</v>
      </c>
      <c r="P22" s="51">
        <v>1</v>
      </c>
      <c r="Q22" s="22">
        <v>2</v>
      </c>
      <c r="R22" s="66">
        <v>0</v>
      </c>
    </row>
    <row r="23" spans="1:18" ht="15">
      <c r="A23" s="71"/>
      <c r="B23" s="72" t="s">
        <v>69</v>
      </c>
      <c r="C23" s="1">
        <v>5</v>
      </c>
      <c r="D23" s="46" t="s">
        <v>44</v>
      </c>
      <c r="E23" s="46" t="s">
        <v>69</v>
      </c>
      <c r="F23" s="69">
        <v>1</v>
      </c>
      <c r="G23" s="70">
        <v>0</v>
      </c>
      <c r="H23" s="59" t="s">
        <v>109</v>
      </c>
      <c r="I23" s="23">
        <v>3</v>
      </c>
      <c r="J23" s="24" t="s">
        <v>71</v>
      </c>
      <c r="K23" s="22">
        <v>3</v>
      </c>
      <c r="L23" s="25" t="s">
        <v>129</v>
      </c>
      <c r="M23" s="18">
        <v>0</v>
      </c>
      <c r="N23" s="18">
        <v>3</v>
      </c>
      <c r="O23" s="19">
        <v>-3</v>
      </c>
      <c r="P23" s="51">
        <v>1</v>
      </c>
      <c r="Q23" s="22">
        <v>1</v>
      </c>
      <c r="R23" s="66">
        <v>1</v>
      </c>
    </row>
    <row r="24" spans="1:18" ht="15.75" thickBot="1">
      <c r="A24" s="71"/>
      <c r="B24" s="72" t="s">
        <v>71</v>
      </c>
      <c r="C24" s="1">
        <v>6</v>
      </c>
      <c r="D24" s="46" t="s">
        <v>71</v>
      </c>
      <c r="E24" s="46" t="s">
        <v>33</v>
      </c>
      <c r="F24" s="69">
        <v>0</v>
      </c>
      <c r="G24" s="70">
        <v>1</v>
      </c>
      <c r="H24" s="59" t="s">
        <v>109</v>
      </c>
      <c r="I24" s="26">
        <v>4</v>
      </c>
      <c r="J24" s="27" t="s">
        <v>69</v>
      </c>
      <c r="K24" s="35">
        <v>3</v>
      </c>
      <c r="L24" s="29" t="s">
        <v>124</v>
      </c>
      <c r="M24" s="30">
        <v>-2</v>
      </c>
      <c r="N24" s="30">
        <v>0</v>
      </c>
      <c r="O24" s="31">
        <v>-2</v>
      </c>
      <c r="P24" s="67">
        <v>0</v>
      </c>
      <c r="Q24" s="35">
        <v>1</v>
      </c>
      <c r="R24" s="68">
        <v>2</v>
      </c>
    </row>
    <row r="25" spans="1:18" ht="15">
      <c r="B25" s="48"/>
      <c r="C25" s="14"/>
      <c r="D25" s="14"/>
      <c r="E25" s="14"/>
      <c r="F25" s="14"/>
      <c r="G25" s="14"/>
      <c r="I25" s="40" t="s">
        <v>106</v>
      </c>
    </row>
    <row r="26" spans="1:18" ht="15" thickBot="1">
      <c r="B26" s="48"/>
      <c r="F26" s="3"/>
      <c r="G26" s="3"/>
    </row>
    <row r="27" spans="1:18" ht="18">
      <c r="B27" s="47" t="s">
        <v>21</v>
      </c>
      <c r="C27" s="1">
        <v>1</v>
      </c>
      <c r="D27" s="46" t="s">
        <v>54</v>
      </c>
      <c r="E27" s="46" t="s">
        <v>43</v>
      </c>
      <c r="F27" s="69">
        <v>0</v>
      </c>
      <c r="G27" s="70">
        <v>1</v>
      </c>
      <c r="H27" s="59" t="s">
        <v>206</v>
      </c>
      <c r="I27" s="7"/>
      <c r="J27" s="8"/>
      <c r="K27" s="9" t="s">
        <v>1</v>
      </c>
      <c r="L27" s="9" t="s">
        <v>2</v>
      </c>
      <c r="M27" s="10" t="s">
        <v>3</v>
      </c>
      <c r="N27" s="11" t="s">
        <v>4</v>
      </c>
      <c r="O27" s="12" t="s">
        <v>5</v>
      </c>
      <c r="P27" s="64" t="s">
        <v>6</v>
      </c>
      <c r="Q27" s="64" t="s">
        <v>7</v>
      </c>
      <c r="R27" s="65" t="s">
        <v>8</v>
      </c>
    </row>
    <row r="28" spans="1:18">
      <c r="B28" s="48"/>
      <c r="C28" s="1">
        <v>2</v>
      </c>
      <c r="D28" s="46" t="s">
        <v>25</v>
      </c>
      <c r="E28" s="46" t="s">
        <v>46</v>
      </c>
      <c r="F28" s="69">
        <v>4</v>
      </c>
      <c r="G28" s="70">
        <v>0</v>
      </c>
      <c r="H28" s="59" t="s">
        <v>99</v>
      </c>
      <c r="I28" s="16"/>
      <c r="J28" s="17"/>
      <c r="K28" s="14"/>
      <c r="L28" s="17"/>
      <c r="M28" s="18"/>
      <c r="N28" s="18"/>
      <c r="O28" s="19"/>
      <c r="R28" s="66"/>
    </row>
    <row r="29" spans="1:18" ht="15">
      <c r="A29" s="71"/>
      <c r="B29" s="72" t="s">
        <v>25</v>
      </c>
      <c r="C29" s="1">
        <v>3</v>
      </c>
      <c r="D29" s="46" t="s">
        <v>54</v>
      </c>
      <c r="E29" s="46" t="s">
        <v>25</v>
      </c>
      <c r="F29" s="69">
        <v>1</v>
      </c>
      <c r="G29" s="70">
        <v>0</v>
      </c>
      <c r="H29" s="59" t="s">
        <v>103</v>
      </c>
      <c r="I29" s="23">
        <v>1</v>
      </c>
      <c r="J29" s="24" t="s">
        <v>25</v>
      </c>
      <c r="K29" s="22">
        <v>3</v>
      </c>
      <c r="L29" s="25" t="s">
        <v>123</v>
      </c>
      <c r="M29" s="18">
        <v>4</v>
      </c>
      <c r="N29" s="18">
        <v>5</v>
      </c>
      <c r="O29" s="19">
        <v>-1</v>
      </c>
      <c r="P29" s="51">
        <v>2</v>
      </c>
      <c r="Q29" s="22">
        <v>0</v>
      </c>
      <c r="R29" s="66">
        <v>1</v>
      </c>
    </row>
    <row r="30" spans="1:18" ht="15">
      <c r="A30" s="71"/>
      <c r="B30" s="72" t="s">
        <v>46</v>
      </c>
      <c r="C30" s="1">
        <v>4</v>
      </c>
      <c r="D30" s="46" t="s">
        <v>43</v>
      </c>
      <c r="E30" s="46" t="s">
        <v>46</v>
      </c>
      <c r="F30" s="69">
        <v>1</v>
      </c>
      <c r="G30" s="70">
        <v>1</v>
      </c>
      <c r="H30" s="59" t="s">
        <v>135</v>
      </c>
      <c r="I30" s="23">
        <v>2</v>
      </c>
      <c r="J30" s="24" t="s">
        <v>43</v>
      </c>
      <c r="K30" s="22">
        <v>3</v>
      </c>
      <c r="L30" s="25" t="s">
        <v>129</v>
      </c>
      <c r="M30" s="18">
        <v>0</v>
      </c>
      <c r="N30" s="18">
        <v>2</v>
      </c>
      <c r="O30" s="19">
        <v>-2</v>
      </c>
      <c r="P30" s="51">
        <v>1</v>
      </c>
      <c r="Q30" s="22">
        <v>1</v>
      </c>
      <c r="R30" s="66">
        <v>1</v>
      </c>
    </row>
    <row r="31" spans="1:18" ht="15">
      <c r="A31" s="71"/>
      <c r="B31" s="72" t="s">
        <v>54</v>
      </c>
      <c r="C31" s="1">
        <v>5</v>
      </c>
      <c r="D31" s="46" t="s">
        <v>46</v>
      </c>
      <c r="E31" s="46" t="s">
        <v>54</v>
      </c>
      <c r="F31" s="69">
        <v>2</v>
      </c>
      <c r="G31" s="70">
        <v>1</v>
      </c>
      <c r="H31" s="59" t="s">
        <v>105</v>
      </c>
      <c r="I31" s="23">
        <v>3</v>
      </c>
      <c r="J31" s="24" t="s">
        <v>46</v>
      </c>
      <c r="K31" s="22">
        <v>3</v>
      </c>
      <c r="L31" s="25" t="s">
        <v>129</v>
      </c>
      <c r="M31" s="18">
        <v>-3</v>
      </c>
      <c r="N31" s="18">
        <v>3</v>
      </c>
      <c r="O31" s="19">
        <v>-6</v>
      </c>
      <c r="P31" s="51">
        <v>1</v>
      </c>
      <c r="Q31" s="22">
        <v>1</v>
      </c>
      <c r="R31" s="66">
        <v>1</v>
      </c>
    </row>
    <row r="32" spans="1:18" ht="15.75" thickBot="1">
      <c r="A32" s="71"/>
      <c r="B32" s="72" t="s">
        <v>43</v>
      </c>
      <c r="C32" s="1">
        <v>6</v>
      </c>
      <c r="D32" s="46" t="s">
        <v>43</v>
      </c>
      <c r="E32" s="46" t="s">
        <v>25</v>
      </c>
      <c r="F32" s="69">
        <v>0</v>
      </c>
      <c r="G32" s="70">
        <v>1</v>
      </c>
      <c r="H32" s="59" t="s">
        <v>105</v>
      </c>
      <c r="I32" s="26">
        <v>4</v>
      </c>
      <c r="J32" s="27" t="s">
        <v>54</v>
      </c>
      <c r="K32" s="35">
        <v>3</v>
      </c>
      <c r="L32" s="29" t="s">
        <v>127</v>
      </c>
      <c r="M32" s="30">
        <v>-1</v>
      </c>
      <c r="N32" s="30">
        <v>2</v>
      </c>
      <c r="O32" s="31">
        <v>-3</v>
      </c>
      <c r="P32" s="67">
        <v>1</v>
      </c>
      <c r="Q32" s="35">
        <v>0</v>
      </c>
      <c r="R32" s="68">
        <v>2</v>
      </c>
    </row>
    <row r="33" spans="1:18" ht="15">
      <c r="B33" s="48"/>
      <c r="D33" s="14"/>
      <c r="E33" s="14"/>
      <c r="F33" s="14"/>
      <c r="G33" s="14"/>
      <c r="I33" s="40" t="s">
        <v>106</v>
      </c>
      <c r="J33" s="24"/>
      <c r="K33" s="22"/>
      <c r="L33" s="25"/>
      <c r="M33" s="18"/>
    </row>
    <row r="34" spans="1:18" ht="15" thickBot="1">
      <c r="B34" s="48"/>
      <c r="C34" s="14"/>
      <c r="D34" s="14"/>
      <c r="E34" s="14"/>
      <c r="F34" s="14"/>
      <c r="G34" s="14"/>
    </row>
    <row r="35" spans="1:18" ht="14.25" customHeight="1">
      <c r="B35" s="47" t="s">
        <v>24</v>
      </c>
      <c r="C35" s="1">
        <v>1</v>
      </c>
      <c r="D35" s="46" t="s">
        <v>37</v>
      </c>
      <c r="E35" s="46" t="s">
        <v>64</v>
      </c>
      <c r="F35" s="69">
        <v>2</v>
      </c>
      <c r="G35" s="70">
        <v>0</v>
      </c>
      <c r="H35" s="59" t="s">
        <v>78</v>
      </c>
      <c r="I35" s="7"/>
      <c r="J35" s="8"/>
      <c r="K35" s="9" t="s">
        <v>1</v>
      </c>
      <c r="L35" s="9" t="s">
        <v>2</v>
      </c>
      <c r="M35" s="10" t="s">
        <v>3</v>
      </c>
      <c r="N35" s="11" t="s">
        <v>4</v>
      </c>
      <c r="O35" s="12" t="s">
        <v>5</v>
      </c>
      <c r="P35" s="64" t="s">
        <v>6</v>
      </c>
      <c r="Q35" s="64" t="s">
        <v>7</v>
      </c>
      <c r="R35" s="65" t="s">
        <v>8</v>
      </c>
    </row>
    <row r="36" spans="1:18" ht="15" customHeight="1">
      <c r="B36" s="48"/>
      <c r="C36" s="1">
        <v>2</v>
      </c>
      <c r="D36" s="46" t="s">
        <v>47</v>
      </c>
      <c r="E36" s="46" t="s">
        <v>62</v>
      </c>
      <c r="F36" s="69">
        <v>1</v>
      </c>
      <c r="G36" s="70">
        <v>0</v>
      </c>
      <c r="H36" s="59" t="s">
        <v>207</v>
      </c>
      <c r="I36" s="16"/>
      <c r="J36" s="17"/>
      <c r="K36" s="14"/>
      <c r="L36" s="17"/>
      <c r="M36" s="18"/>
      <c r="N36" s="18"/>
      <c r="O36" s="19"/>
      <c r="R36" s="66"/>
    </row>
    <row r="37" spans="1:18" ht="15">
      <c r="A37" s="71"/>
      <c r="B37" s="72" t="s">
        <v>37</v>
      </c>
      <c r="C37" s="1">
        <v>3</v>
      </c>
      <c r="D37" s="46" t="s">
        <v>47</v>
      </c>
      <c r="E37" s="46" t="s">
        <v>37</v>
      </c>
      <c r="F37" s="69">
        <v>0</v>
      </c>
      <c r="G37" s="70">
        <v>1</v>
      </c>
      <c r="H37" s="59" t="s">
        <v>104</v>
      </c>
      <c r="I37" s="23">
        <v>1</v>
      </c>
      <c r="J37" s="24" t="s">
        <v>37</v>
      </c>
      <c r="K37" s="22">
        <v>3</v>
      </c>
      <c r="L37" s="25" t="s">
        <v>122</v>
      </c>
      <c r="M37" s="18">
        <v>4</v>
      </c>
      <c r="N37" s="18">
        <v>5</v>
      </c>
      <c r="O37" s="19">
        <v>-1</v>
      </c>
      <c r="P37" s="51">
        <v>3</v>
      </c>
      <c r="Q37" s="22">
        <v>0</v>
      </c>
      <c r="R37" s="66">
        <v>0</v>
      </c>
    </row>
    <row r="38" spans="1:18" ht="15">
      <c r="A38" s="71"/>
      <c r="B38" s="72" t="s">
        <v>64</v>
      </c>
      <c r="C38" s="1">
        <v>4</v>
      </c>
      <c r="D38" s="46" t="s">
        <v>62</v>
      </c>
      <c r="E38" s="46" t="s">
        <v>64</v>
      </c>
      <c r="F38" s="69">
        <v>1</v>
      </c>
      <c r="G38" s="70">
        <v>2</v>
      </c>
      <c r="H38" s="59" t="s">
        <v>113</v>
      </c>
      <c r="I38" s="23">
        <v>2</v>
      </c>
      <c r="J38" s="24" t="s">
        <v>47</v>
      </c>
      <c r="K38" s="22">
        <v>3</v>
      </c>
      <c r="L38" s="25" t="s">
        <v>123</v>
      </c>
      <c r="M38" s="18">
        <v>2</v>
      </c>
      <c r="N38" s="18">
        <v>4</v>
      </c>
      <c r="O38" s="19">
        <v>-2</v>
      </c>
      <c r="P38" s="51">
        <v>2</v>
      </c>
      <c r="Q38" s="22">
        <v>0</v>
      </c>
      <c r="R38" s="66">
        <v>1</v>
      </c>
    </row>
    <row r="39" spans="1:18" ht="15">
      <c r="A39" s="71"/>
      <c r="B39" s="72" t="s">
        <v>47</v>
      </c>
      <c r="C39" s="1">
        <v>5</v>
      </c>
      <c r="D39" s="46" t="s">
        <v>64</v>
      </c>
      <c r="E39" s="46" t="s">
        <v>47</v>
      </c>
      <c r="F39" s="69">
        <v>1</v>
      </c>
      <c r="G39" s="70">
        <v>3</v>
      </c>
      <c r="H39" s="59" t="s">
        <v>112</v>
      </c>
      <c r="I39" s="23">
        <v>3</v>
      </c>
      <c r="J39" s="24" t="s">
        <v>64</v>
      </c>
      <c r="K39" s="22">
        <v>3</v>
      </c>
      <c r="L39" s="25" t="s">
        <v>127</v>
      </c>
      <c r="M39" s="18">
        <v>-3</v>
      </c>
      <c r="N39" s="18">
        <v>3</v>
      </c>
      <c r="O39" s="19">
        <v>-6</v>
      </c>
      <c r="P39" s="51">
        <v>1</v>
      </c>
      <c r="Q39" s="22">
        <v>0</v>
      </c>
      <c r="R39" s="66">
        <v>2</v>
      </c>
    </row>
    <row r="40" spans="1:18" ht="15.75" thickBot="1">
      <c r="A40" s="71"/>
      <c r="B40" s="72" t="s">
        <v>62</v>
      </c>
      <c r="C40" s="1">
        <v>6</v>
      </c>
      <c r="D40" s="46" t="s">
        <v>62</v>
      </c>
      <c r="E40" s="46" t="s">
        <v>37</v>
      </c>
      <c r="F40" s="69">
        <v>1</v>
      </c>
      <c r="G40" s="70">
        <v>2</v>
      </c>
      <c r="H40" s="59" t="s">
        <v>112</v>
      </c>
      <c r="I40" s="26">
        <v>4</v>
      </c>
      <c r="J40" s="27" t="s">
        <v>62</v>
      </c>
      <c r="K40" s="35">
        <v>3</v>
      </c>
      <c r="L40" s="29" t="s">
        <v>128</v>
      </c>
      <c r="M40" s="30">
        <v>-3</v>
      </c>
      <c r="N40" s="30">
        <v>2</v>
      </c>
      <c r="O40" s="31">
        <v>-5</v>
      </c>
      <c r="P40" s="67">
        <v>0</v>
      </c>
      <c r="Q40" s="35">
        <v>0</v>
      </c>
      <c r="R40" s="68">
        <v>3</v>
      </c>
    </row>
    <row r="41" spans="1:18" ht="15">
      <c r="B41" s="48"/>
      <c r="C41" s="14"/>
      <c r="D41" s="14"/>
      <c r="E41" s="14"/>
      <c r="F41" s="14"/>
      <c r="G41" s="14"/>
      <c r="I41" s="40" t="s">
        <v>106</v>
      </c>
    </row>
    <row r="42" spans="1:18" ht="15" collapsed="1" thickBot="1">
      <c r="B42" s="48"/>
      <c r="C42" s="14"/>
      <c r="D42" s="14"/>
      <c r="E42" s="14"/>
      <c r="F42" s="14"/>
      <c r="G42" s="14"/>
    </row>
    <row r="43" spans="1:18" ht="18">
      <c r="B43" s="47" t="s">
        <v>26</v>
      </c>
      <c r="C43" s="1">
        <v>1</v>
      </c>
      <c r="D43" s="46" t="s">
        <v>42</v>
      </c>
      <c r="E43" s="46" t="s">
        <v>34</v>
      </c>
      <c r="F43" s="69">
        <v>1</v>
      </c>
      <c r="G43" s="70">
        <v>1</v>
      </c>
      <c r="H43" s="59" t="s">
        <v>79</v>
      </c>
      <c r="I43" s="7"/>
      <c r="J43" s="8"/>
      <c r="K43" s="9" t="s">
        <v>1</v>
      </c>
      <c r="L43" s="9" t="s">
        <v>2</v>
      </c>
      <c r="M43" s="10" t="s">
        <v>3</v>
      </c>
      <c r="N43" s="11" t="s">
        <v>4</v>
      </c>
      <c r="O43" s="12" t="s">
        <v>5</v>
      </c>
      <c r="P43" s="64" t="s">
        <v>6</v>
      </c>
      <c r="Q43" s="64" t="s">
        <v>7</v>
      </c>
      <c r="R43" s="65" t="s">
        <v>8</v>
      </c>
    </row>
    <row r="44" spans="1:18">
      <c r="B44" s="48"/>
      <c r="C44" s="1">
        <v>2</v>
      </c>
      <c r="D44" s="46" t="s">
        <v>63</v>
      </c>
      <c r="E44" s="46" t="s">
        <v>65</v>
      </c>
      <c r="F44" s="69">
        <v>1</v>
      </c>
      <c r="G44" s="70">
        <v>1</v>
      </c>
      <c r="H44" s="59" t="s">
        <v>100</v>
      </c>
      <c r="I44" s="16"/>
      <c r="J44" s="17"/>
      <c r="K44" s="14"/>
      <c r="L44" s="17"/>
      <c r="M44" s="18"/>
      <c r="N44" s="18"/>
      <c r="O44" s="19"/>
      <c r="R44" s="66"/>
    </row>
    <row r="45" spans="1:18" ht="15">
      <c r="A45" s="71"/>
      <c r="B45" s="72" t="s">
        <v>42</v>
      </c>
      <c r="C45" s="1">
        <v>3</v>
      </c>
      <c r="D45" s="46" t="s">
        <v>65</v>
      </c>
      <c r="E45" s="46" t="s">
        <v>34</v>
      </c>
      <c r="F45" s="69">
        <v>0</v>
      </c>
      <c r="G45" s="70">
        <v>2</v>
      </c>
      <c r="H45" s="59" t="s">
        <v>114</v>
      </c>
      <c r="I45" s="23">
        <v>1</v>
      </c>
      <c r="J45" s="24" t="s">
        <v>34</v>
      </c>
      <c r="K45" s="22">
        <v>3</v>
      </c>
      <c r="L45" s="25" t="s">
        <v>126</v>
      </c>
      <c r="M45" s="18">
        <v>2</v>
      </c>
      <c r="N45" s="18">
        <v>3</v>
      </c>
      <c r="O45" s="19">
        <v>-1</v>
      </c>
      <c r="P45" s="51">
        <v>1</v>
      </c>
      <c r="Q45" s="22">
        <v>2</v>
      </c>
      <c r="R45" s="66">
        <v>0</v>
      </c>
    </row>
    <row r="46" spans="1:18" ht="15">
      <c r="A46" s="71"/>
      <c r="B46" s="72" t="s">
        <v>34</v>
      </c>
      <c r="C46" s="1">
        <v>4</v>
      </c>
      <c r="D46" s="46" t="s">
        <v>63</v>
      </c>
      <c r="E46" s="46" t="s">
        <v>42</v>
      </c>
      <c r="F46" s="69">
        <v>1</v>
      </c>
      <c r="G46" s="70">
        <v>1</v>
      </c>
      <c r="H46" s="59" t="s">
        <v>115</v>
      </c>
      <c r="I46" s="23">
        <v>2</v>
      </c>
      <c r="J46" s="24" t="s">
        <v>65</v>
      </c>
      <c r="K46" s="22">
        <v>3</v>
      </c>
      <c r="L46" s="25" t="s">
        <v>129</v>
      </c>
      <c r="M46" s="18">
        <v>-1</v>
      </c>
      <c r="N46" s="18">
        <v>4</v>
      </c>
      <c r="O46" s="19">
        <v>-5</v>
      </c>
      <c r="P46" s="51">
        <v>1</v>
      </c>
      <c r="Q46" s="22">
        <v>1</v>
      </c>
      <c r="R46" s="66">
        <v>1</v>
      </c>
    </row>
    <row r="47" spans="1:18" ht="15">
      <c r="A47" s="71"/>
      <c r="B47" s="72" t="s">
        <v>63</v>
      </c>
      <c r="C47" s="1">
        <v>5</v>
      </c>
      <c r="D47" s="46" t="s">
        <v>34</v>
      </c>
      <c r="E47" s="46" t="s">
        <v>63</v>
      </c>
      <c r="F47" s="69">
        <v>0</v>
      </c>
      <c r="G47" s="70">
        <v>0</v>
      </c>
      <c r="H47" s="59" t="s">
        <v>111</v>
      </c>
      <c r="I47" s="23">
        <v>3</v>
      </c>
      <c r="J47" s="24" t="s">
        <v>63</v>
      </c>
      <c r="K47" s="22">
        <v>3</v>
      </c>
      <c r="L47" s="25" t="s">
        <v>127</v>
      </c>
      <c r="M47" s="18">
        <v>0</v>
      </c>
      <c r="N47" s="18">
        <v>2</v>
      </c>
      <c r="O47" s="19">
        <v>-2</v>
      </c>
      <c r="P47" s="51">
        <v>0</v>
      </c>
      <c r="Q47" s="22">
        <v>3</v>
      </c>
      <c r="R47" s="66">
        <v>0</v>
      </c>
    </row>
    <row r="48" spans="1:18" ht="15.75" thickBot="1">
      <c r="A48" s="71"/>
      <c r="B48" s="72" t="s">
        <v>65</v>
      </c>
      <c r="C48" s="1">
        <v>6</v>
      </c>
      <c r="D48" s="46" t="s">
        <v>65</v>
      </c>
      <c r="E48" s="46" t="s">
        <v>42</v>
      </c>
      <c r="F48" s="69">
        <v>3</v>
      </c>
      <c r="G48" s="70">
        <v>2</v>
      </c>
      <c r="H48" s="59" t="s">
        <v>111</v>
      </c>
      <c r="I48" s="26">
        <v>4</v>
      </c>
      <c r="J48" s="27" t="s">
        <v>42</v>
      </c>
      <c r="K48" s="35">
        <v>3</v>
      </c>
      <c r="L48" s="29" t="s">
        <v>130</v>
      </c>
      <c r="M48" s="30">
        <v>-1</v>
      </c>
      <c r="N48" s="30">
        <v>4</v>
      </c>
      <c r="O48" s="31">
        <v>-5</v>
      </c>
      <c r="P48" s="67">
        <v>0</v>
      </c>
      <c r="Q48" s="35">
        <v>2</v>
      </c>
      <c r="R48" s="68">
        <v>1</v>
      </c>
    </row>
    <row r="49" spans="1:18" ht="15">
      <c r="B49" s="48"/>
      <c r="C49" s="14"/>
      <c r="D49" s="14"/>
      <c r="E49" s="14"/>
      <c r="F49" s="14"/>
      <c r="G49" s="14"/>
      <c r="I49" s="40" t="s">
        <v>106</v>
      </c>
    </row>
    <row r="50" spans="1:18" ht="15" collapsed="1" thickBot="1">
      <c r="B50" s="48"/>
      <c r="C50" s="14"/>
      <c r="D50" s="14"/>
      <c r="E50" s="14"/>
      <c r="F50" s="14"/>
      <c r="G50" s="14"/>
    </row>
    <row r="51" spans="1:18" ht="18">
      <c r="B51" s="47" t="s">
        <v>27</v>
      </c>
      <c r="C51" s="1">
        <v>1</v>
      </c>
      <c r="D51" s="46" t="s">
        <v>192</v>
      </c>
      <c r="E51" s="46" t="s">
        <v>41</v>
      </c>
      <c r="F51" s="69">
        <v>0</v>
      </c>
      <c r="G51" s="70">
        <v>0</v>
      </c>
      <c r="H51" s="59" t="s">
        <v>80</v>
      </c>
      <c r="I51" s="7"/>
      <c r="J51" s="8"/>
      <c r="K51" s="9" t="s">
        <v>1</v>
      </c>
      <c r="L51" s="9" t="s">
        <v>2</v>
      </c>
      <c r="M51" s="10" t="s">
        <v>3</v>
      </c>
      <c r="N51" s="11" t="s">
        <v>4</v>
      </c>
      <c r="O51" s="12" t="s">
        <v>5</v>
      </c>
      <c r="P51" s="64" t="s">
        <v>6</v>
      </c>
      <c r="Q51" s="64" t="s">
        <v>7</v>
      </c>
      <c r="R51" s="65" t="s">
        <v>8</v>
      </c>
    </row>
    <row r="52" spans="1:18">
      <c r="B52" s="48"/>
      <c r="C52" s="1">
        <v>2</v>
      </c>
      <c r="D52" s="46" t="s">
        <v>20</v>
      </c>
      <c r="E52" s="46" t="s">
        <v>59</v>
      </c>
      <c r="F52" s="69">
        <v>2</v>
      </c>
      <c r="G52" s="70">
        <v>1</v>
      </c>
      <c r="H52" s="59" t="s">
        <v>101</v>
      </c>
      <c r="I52" s="16"/>
      <c r="J52" s="17"/>
      <c r="K52" s="14"/>
      <c r="L52" s="17"/>
      <c r="M52" s="18"/>
      <c r="N52" s="18"/>
      <c r="O52" s="19"/>
      <c r="R52" s="66"/>
    </row>
    <row r="53" spans="1:18" ht="15">
      <c r="A53" s="71"/>
      <c r="B53" s="72" t="s">
        <v>20</v>
      </c>
      <c r="C53" s="1">
        <v>3</v>
      </c>
      <c r="D53" s="46" t="s">
        <v>192</v>
      </c>
      <c r="E53" s="46" t="s">
        <v>20</v>
      </c>
      <c r="F53" s="69">
        <v>1</v>
      </c>
      <c r="G53" s="70">
        <v>3</v>
      </c>
      <c r="H53" s="59" t="s">
        <v>117</v>
      </c>
      <c r="I53" s="23">
        <v>1</v>
      </c>
      <c r="J53" s="24" t="s">
        <v>20</v>
      </c>
      <c r="K53" s="22">
        <v>3</v>
      </c>
      <c r="L53" s="25" t="s">
        <v>125</v>
      </c>
      <c r="M53" s="18">
        <v>3</v>
      </c>
      <c r="N53" s="18">
        <v>5</v>
      </c>
      <c r="O53" s="19">
        <v>-2</v>
      </c>
      <c r="P53" s="51">
        <v>2</v>
      </c>
      <c r="Q53" s="22">
        <v>1</v>
      </c>
      <c r="R53" s="66">
        <v>0</v>
      </c>
    </row>
    <row r="54" spans="1:18" ht="15">
      <c r="A54" s="71"/>
      <c r="B54" s="72" t="s">
        <v>59</v>
      </c>
      <c r="C54" s="1">
        <v>4</v>
      </c>
      <c r="D54" s="46" t="s">
        <v>41</v>
      </c>
      <c r="E54" s="46" t="s">
        <v>59</v>
      </c>
      <c r="F54" s="69">
        <v>7</v>
      </c>
      <c r="G54" s="70">
        <v>0</v>
      </c>
      <c r="H54" s="59" t="s">
        <v>118</v>
      </c>
      <c r="I54" s="23">
        <v>2</v>
      </c>
      <c r="J54" s="24" t="s">
        <v>41</v>
      </c>
      <c r="K54" s="22">
        <v>3</v>
      </c>
      <c r="L54" s="25" t="s">
        <v>126</v>
      </c>
      <c r="M54" s="18">
        <v>7</v>
      </c>
      <c r="N54" s="18">
        <v>7</v>
      </c>
      <c r="O54" s="19">
        <v>0</v>
      </c>
      <c r="P54" s="51">
        <v>1</v>
      </c>
      <c r="Q54" s="22">
        <v>2</v>
      </c>
      <c r="R54" s="66">
        <v>0</v>
      </c>
    </row>
    <row r="55" spans="1:18" ht="15">
      <c r="A55" s="71"/>
      <c r="B55" s="72" t="s">
        <v>192</v>
      </c>
      <c r="C55" s="1">
        <v>5</v>
      </c>
      <c r="D55" s="46" t="s">
        <v>59</v>
      </c>
      <c r="E55" s="46" t="s">
        <v>192</v>
      </c>
      <c r="F55" s="69">
        <v>0</v>
      </c>
      <c r="G55" s="70">
        <v>3</v>
      </c>
      <c r="H55" s="59" t="s">
        <v>116</v>
      </c>
      <c r="I55" s="23">
        <v>3</v>
      </c>
      <c r="J55" s="24" t="s">
        <v>192</v>
      </c>
      <c r="K55" s="22">
        <v>3</v>
      </c>
      <c r="L55" s="25" t="s">
        <v>129</v>
      </c>
      <c r="M55" s="18">
        <v>1</v>
      </c>
      <c r="N55" s="18">
        <v>4</v>
      </c>
      <c r="O55" s="19">
        <v>-3</v>
      </c>
      <c r="P55" s="51">
        <v>1</v>
      </c>
      <c r="Q55" s="22">
        <v>1</v>
      </c>
      <c r="R55" s="66">
        <v>1</v>
      </c>
    </row>
    <row r="56" spans="1:18" ht="15.75" thickBot="1">
      <c r="A56" s="71"/>
      <c r="B56" s="72" t="s">
        <v>41</v>
      </c>
      <c r="C56" s="1">
        <v>6</v>
      </c>
      <c r="D56" s="46" t="s">
        <v>41</v>
      </c>
      <c r="E56" s="46" t="s">
        <v>20</v>
      </c>
      <c r="F56" s="69">
        <v>0</v>
      </c>
      <c r="G56" s="70">
        <v>0</v>
      </c>
      <c r="H56" s="59" t="s">
        <v>116</v>
      </c>
      <c r="I56" s="26">
        <v>4</v>
      </c>
      <c r="J56" s="27" t="s">
        <v>59</v>
      </c>
      <c r="K56" s="35">
        <v>3</v>
      </c>
      <c r="L56" s="29" t="s">
        <v>128</v>
      </c>
      <c r="M56" s="30">
        <v>-11</v>
      </c>
      <c r="N56" s="30">
        <v>1</v>
      </c>
      <c r="O56" s="31">
        <v>-12</v>
      </c>
      <c r="P56" s="67">
        <v>0</v>
      </c>
      <c r="Q56" s="35">
        <v>0</v>
      </c>
      <c r="R56" s="68">
        <v>3</v>
      </c>
    </row>
    <row r="57" spans="1:18" ht="15">
      <c r="B57" s="48"/>
      <c r="D57" s="14"/>
      <c r="E57" s="14"/>
      <c r="F57" s="14"/>
      <c r="G57" s="14"/>
      <c r="I57" s="40" t="s">
        <v>106</v>
      </c>
      <c r="J57" s="24"/>
      <c r="K57" s="22"/>
      <c r="L57" s="25"/>
      <c r="M57" s="18"/>
    </row>
    <row r="58" spans="1:18" ht="15" thickBot="1">
      <c r="B58" s="48"/>
      <c r="C58" s="14"/>
      <c r="D58" s="14"/>
      <c r="E58" s="14"/>
      <c r="F58" s="14"/>
      <c r="G58" s="14"/>
    </row>
    <row r="59" spans="1:18" ht="18">
      <c r="B59" s="47" t="s">
        <v>28</v>
      </c>
      <c r="C59" s="1">
        <v>1</v>
      </c>
      <c r="D59" s="46" t="s">
        <v>68</v>
      </c>
      <c r="E59" s="46" t="s">
        <v>66</v>
      </c>
      <c r="F59" s="69">
        <v>0</v>
      </c>
      <c r="G59" s="70">
        <v>1</v>
      </c>
      <c r="H59" s="59" t="s">
        <v>81</v>
      </c>
      <c r="I59" s="7"/>
      <c r="J59" s="8"/>
      <c r="K59" s="9" t="s">
        <v>1</v>
      </c>
      <c r="L59" s="9" t="s">
        <v>2</v>
      </c>
      <c r="M59" s="10" t="s">
        <v>3</v>
      </c>
      <c r="N59" s="11" t="s">
        <v>4</v>
      </c>
      <c r="O59" s="12" t="s">
        <v>5</v>
      </c>
      <c r="P59" s="64" t="s">
        <v>6</v>
      </c>
      <c r="Q59" s="64" t="s">
        <v>7</v>
      </c>
      <c r="R59" s="65" t="s">
        <v>8</v>
      </c>
    </row>
    <row r="60" spans="1:18">
      <c r="B60" s="48"/>
      <c r="C60" s="1">
        <v>2</v>
      </c>
      <c r="D60" s="46" t="s">
        <v>51</v>
      </c>
      <c r="E60" s="46" t="s">
        <v>49</v>
      </c>
      <c r="F60" s="69">
        <v>0</v>
      </c>
      <c r="G60" s="70">
        <v>1</v>
      </c>
      <c r="H60" s="59" t="s">
        <v>102</v>
      </c>
      <c r="I60" s="16"/>
      <c r="J60" s="17"/>
      <c r="K60" s="14"/>
      <c r="L60" s="17"/>
      <c r="M60" s="18"/>
      <c r="N60" s="18"/>
      <c r="O60" s="19"/>
      <c r="R60" s="66"/>
    </row>
    <row r="61" spans="1:18" ht="15">
      <c r="A61" s="71"/>
      <c r="B61" s="72" t="s">
        <v>51</v>
      </c>
      <c r="C61" s="1">
        <v>3</v>
      </c>
      <c r="D61" s="46" t="s">
        <v>66</v>
      </c>
      <c r="E61" s="46" t="s">
        <v>49</v>
      </c>
      <c r="F61" s="69">
        <v>1</v>
      </c>
      <c r="G61" s="70">
        <v>0</v>
      </c>
      <c r="H61" s="59" t="s">
        <v>120</v>
      </c>
      <c r="I61" s="23">
        <v>1</v>
      </c>
      <c r="J61" s="24" t="s">
        <v>51</v>
      </c>
      <c r="K61" s="22">
        <v>3</v>
      </c>
      <c r="L61" s="25" t="s">
        <v>123</v>
      </c>
      <c r="M61" s="18">
        <v>2</v>
      </c>
      <c r="N61" s="18">
        <v>4</v>
      </c>
      <c r="O61" s="19">
        <v>-2</v>
      </c>
      <c r="P61" s="51">
        <v>2</v>
      </c>
      <c r="Q61" s="22">
        <v>0</v>
      </c>
      <c r="R61" s="66">
        <v>1</v>
      </c>
    </row>
    <row r="62" spans="1:18" ht="15">
      <c r="A62" s="71"/>
      <c r="B62" s="72" t="s">
        <v>49</v>
      </c>
      <c r="C62" s="1">
        <v>4</v>
      </c>
      <c r="D62" s="46" t="s">
        <v>68</v>
      </c>
      <c r="E62" s="46" t="s">
        <v>51</v>
      </c>
      <c r="F62" s="69">
        <v>0</v>
      </c>
      <c r="G62" s="70">
        <v>2</v>
      </c>
      <c r="H62" s="59" t="s">
        <v>121</v>
      </c>
      <c r="I62" s="23">
        <v>2</v>
      </c>
      <c r="J62" s="24" t="s">
        <v>66</v>
      </c>
      <c r="K62" s="22">
        <v>3</v>
      </c>
      <c r="L62" s="25" t="s">
        <v>123</v>
      </c>
      <c r="M62" s="18">
        <v>1</v>
      </c>
      <c r="N62" s="18">
        <v>3</v>
      </c>
      <c r="O62" s="19">
        <v>-2</v>
      </c>
      <c r="P62" s="51">
        <v>2</v>
      </c>
      <c r="Q62" s="22">
        <v>0</v>
      </c>
      <c r="R62" s="66">
        <v>1</v>
      </c>
    </row>
    <row r="63" spans="1:18" ht="15">
      <c r="A63" s="71"/>
      <c r="B63" s="72" t="s">
        <v>68</v>
      </c>
      <c r="C63" s="1">
        <v>5</v>
      </c>
      <c r="D63" s="46" t="s">
        <v>49</v>
      </c>
      <c r="E63" s="46" t="s">
        <v>68</v>
      </c>
      <c r="F63" s="69">
        <v>0</v>
      </c>
      <c r="G63" s="70">
        <v>0</v>
      </c>
      <c r="H63" s="59" t="s">
        <v>119</v>
      </c>
      <c r="I63" s="23">
        <v>3</v>
      </c>
      <c r="J63" s="24" t="s">
        <v>49</v>
      </c>
      <c r="K63" s="22">
        <v>3</v>
      </c>
      <c r="L63" s="25" t="s">
        <v>129</v>
      </c>
      <c r="M63" s="18">
        <v>0</v>
      </c>
      <c r="N63" s="18">
        <v>1</v>
      </c>
      <c r="O63" s="19">
        <v>-1</v>
      </c>
      <c r="P63" s="51">
        <v>1</v>
      </c>
      <c r="Q63" s="22">
        <v>1</v>
      </c>
      <c r="R63" s="66">
        <v>1</v>
      </c>
    </row>
    <row r="64" spans="1:18" ht="15.75" thickBot="1">
      <c r="A64" s="71"/>
      <c r="B64" s="72" t="s">
        <v>66</v>
      </c>
      <c r="C64" s="1">
        <v>6</v>
      </c>
      <c r="D64" s="46" t="s">
        <v>66</v>
      </c>
      <c r="E64" s="46" t="s">
        <v>51</v>
      </c>
      <c r="F64" s="69">
        <v>1</v>
      </c>
      <c r="G64" s="70">
        <v>2</v>
      </c>
      <c r="H64" s="59" t="s">
        <v>119</v>
      </c>
      <c r="I64" s="26">
        <v>4</v>
      </c>
      <c r="J64" s="27" t="s">
        <v>68</v>
      </c>
      <c r="K64" s="35">
        <v>3</v>
      </c>
      <c r="L64" s="29" t="s">
        <v>124</v>
      </c>
      <c r="M64" s="30">
        <v>-3</v>
      </c>
      <c r="N64" s="30">
        <v>0</v>
      </c>
      <c r="O64" s="31">
        <v>-3</v>
      </c>
      <c r="P64" s="67">
        <v>0</v>
      </c>
      <c r="Q64" s="35">
        <v>1</v>
      </c>
      <c r="R64" s="68">
        <v>2</v>
      </c>
    </row>
    <row r="65" spans="2:13" ht="15">
      <c r="B65" s="48"/>
      <c r="D65" s="14"/>
      <c r="E65" s="14"/>
      <c r="F65" s="14"/>
      <c r="G65" s="14"/>
      <c r="I65" s="40" t="s">
        <v>106</v>
      </c>
      <c r="J65" s="24"/>
      <c r="K65" s="22"/>
      <c r="L65" s="25"/>
      <c r="M65" s="18"/>
    </row>
    <row r="66" spans="2:13">
      <c r="B66" s="48"/>
      <c r="C66" s="14"/>
      <c r="D66" s="14"/>
      <c r="E66" s="14"/>
      <c r="F66" s="14"/>
      <c r="G66" s="14"/>
    </row>
    <row r="67" spans="2:13">
      <c r="B67" s="48"/>
      <c r="C67" s="14"/>
      <c r="D67" s="14"/>
      <c r="E67" s="14"/>
      <c r="F67" s="14"/>
      <c r="G67" s="14"/>
    </row>
    <row r="68" spans="2:13">
      <c r="B68" s="48"/>
      <c r="C68" s="14"/>
      <c r="D68" s="14"/>
      <c r="E68" s="14"/>
      <c r="F68" s="14"/>
      <c r="G68" s="14"/>
    </row>
    <row r="69" spans="2:13" ht="20.25">
      <c r="B69" s="41"/>
      <c r="C69" s="60" t="s">
        <v>194</v>
      </c>
      <c r="D69" s="46" t="s">
        <v>72</v>
      </c>
      <c r="E69" s="46" t="s">
        <v>60</v>
      </c>
      <c r="F69" s="69">
        <v>2</v>
      </c>
      <c r="G69" s="70">
        <v>1</v>
      </c>
      <c r="H69" s="59" t="s">
        <v>82</v>
      </c>
      <c r="I69" s="2" t="s">
        <v>131</v>
      </c>
    </row>
    <row r="70" spans="2:13" ht="20.25">
      <c r="B70" s="41"/>
      <c r="C70" s="60" t="s">
        <v>195</v>
      </c>
      <c r="D70" s="46" t="s">
        <v>44</v>
      </c>
      <c r="E70" s="46" t="s">
        <v>43</v>
      </c>
      <c r="F70" s="69">
        <v>1</v>
      </c>
      <c r="G70" s="70">
        <v>2</v>
      </c>
      <c r="H70" s="59" t="s">
        <v>83</v>
      </c>
      <c r="I70" s="2"/>
    </row>
    <row r="71" spans="2:13" ht="20.25">
      <c r="B71" s="41"/>
      <c r="C71" s="60" t="s">
        <v>196</v>
      </c>
      <c r="D71" s="46" t="s">
        <v>25</v>
      </c>
      <c r="E71" s="46" t="s">
        <v>33</v>
      </c>
      <c r="F71" s="69">
        <v>4</v>
      </c>
      <c r="G71" s="70">
        <v>1</v>
      </c>
      <c r="H71" s="59" t="s">
        <v>84</v>
      </c>
      <c r="I71" s="2"/>
    </row>
    <row r="72" spans="2:13" ht="20.25">
      <c r="B72" s="41"/>
      <c r="C72" s="60" t="s">
        <v>197</v>
      </c>
      <c r="D72" s="46" t="s">
        <v>36</v>
      </c>
      <c r="E72" s="46" t="s">
        <v>38</v>
      </c>
      <c r="F72" s="69">
        <v>3</v>
      </c>
      <c r="G72" s="70">
        <v>1</v>
      </c>
      <c r="H72" s="59" t="s">
        <v>85</v>
      </c>
      <c r="I72" s="2"/>
    </row>
    <row r="73" spans="2:13" ht="20.25">
      <c r="B73" s="41"/>
      <c r="C73" s="60" t="s">
        <v>198</v>
      </c>
      <c r="D73" s="46" t="s">
        <v>37</v>
      </c>
      <c r="E73" s="46" t="s">
        <v>65</v>
      </c>
      <c r="F73" s="69">
        <v>2</v>
      </c>
      <c r="G73" s="70">
        <v>1</v>
      </c>
      <c r="H73" s="59" t="s">
        <v>86</v>
      </c>
      <c r="I73" s="2"/>
    </row>
    <row r="74" spans="2:13" ht="20.25">
      <c r="B74" s="41"/>
      <c r="C74" s="60" t="s">
        <v>199</v>
      </c>
      <c r="D74" s="46" t="s">
        <v>20</v>
      </c>
      <c r="E74" s="46" t="s">
        <v>66</v>
      </c>
      <c r="F74" s="69">
        <v>3</v>
      </c>
      <c r="G74" s="70">
        <v>0</v>
      </c>
      <c r="H74" s="59" t="s">
        <v>87</v>
      </c>
      <c r="I74" s="2"/>
      <c r="J74" s="129"/>
    </row>
    <row r="75" spans="2:13" ht="20.25">
      <c r="B75" s="41"/>
      <c r="C75" s="60" t="s">
        <v>200</v>
      </c>
      <c r="D75" s="46" t="s">
        <v>34</v>
      </c>
      <c r="E75" s="46" t="s">
        <v>47</v>
      </c>
      <c r="F75" s="69">
        <v>0.01</v>
      </c>
      <c r="G75" s="70">
        <v>0</v>
      </c>
      <c r="H75" s="59" t="s">
        <v>88</v>
      </c>
      <c r="I75" s="2"/>
      <c r="J75" s="129"/>
    </row>
    <row r="76" spans="2:13" ht="20.25">
      <c r="B76" s="41"/>
      <c r="C76" s="60" t="s">
        <v>201</v>
      </c>
      <c r="D76" s="46" t="s">
        <v>51</v>
      </c>
      <c r="E76" s="46" t="s">
        <v>41</v>
      </c>
      <c r="F76" s="69">
        <v>1</v>
      </c>
      <c r="G76" s="70">
        <v>0</v>
      </c>
      <c r="H76" s="59" t="s">
        <v>89</v>
      </c>
      <c r="I76" s="2"/>
      <c r="J76" s="129"/>
    </row>
    <row r="77" spans="2:13">
      <c r="B77" s="48"/>
      <c r="C77" s="51"/>
      <c r="D77" s="14"/>
      <c r="E77" s="14"/>
      <c r="F77" s="14"/>
      <c r="G77" s="14"/>
    </row>
    <row r="78" spans="2:13">
      <c r="B78" s="48"/>
      <c r="C78" s="51"/>
      <c r="D78" s="14"/>
      <c r="E78" s="14"/>
      <c r="F78" s="14"/>
      <c r="G78" s="14"/>
    </row>
    <row r="79" spans="2:13" ht="20.25">
      <c r="B79" s="41"/>
      <c r="C79" s="59" t="s">
        <v>202</v>
      </c>
      <c r="D79" s="46" t="s">
        <v>37</v>
      </c>
      <c r="E79" s="46" t="s">
        <v>20</v>
      </c>
      <c r="F79" s="69">
        <v>2</v>
      </c>
      <c r="G79" s="70">
        <v>1</v>
      </c>
      <c r="H79" s="59" t="s">
        <v>90</v>
      </c>
      <c r="I79" s="2" t="s">
        <v>132</v>
      </c>
    </row>
    <row r="80" spans="2:13" ht="20.25">
      <c r="B80" s="41"/>
      <c r="C80" s="59" t="s">
        <v>203</v>
      </c>
      <c r="D80" s="46" t="s">
        <v>72</v>
      </c>
      <c r="E80" s="46" t="s">
        <v>43</v>
      </c>
      <c r="F80" s="69">
        <v>1.01</v>
      </c>
      <c r="G80" s="70">
        <v>1</v>
      </c>
      <c r="H80" s="59" t="s">
        <v>91</v>
      </c>
      <c r="I80" s="2"/>
    </row>
    <row r="81" spans="2:11" ht="20.25">
      <c r="B81" s="41"/>
      <c r="C81" s="59" t="s">
        <v>204</v>
      </c>
      <c r="D81" s="46" t="s">
        <v>25</v>
      </c>
      <c r="E81" s="46" t="s">
        <v>36</v>
      </c>
      <c r="F81" s="69">
        <v>4</v>
      </c>
      <c r="G81" s="70">
        <v>0</v>
      </c>
      <c r="H81" s="59" t="s">
        <v>92</v>
      </c>
      <c r="I81" s="2"/>
    </row>
    <row r="82" spans="2:11" ht="20.25">
      <c r="B82" s="41"/>
      <c r="C82" s="59" t="s">
        <v>205</v>
      </c>
      <c r="D82" s="46" t="s">
        <v>34</v>
      </c>
      <c r="E82" s="46" t="s">
        <v>51</v>
      </c>
      <c r="F82" s="69">
        <v>0</v>
      </c>
      <c r="G82" s="70">
        <v>1</v>
      </c>
      <c r="H82" s="59" t="s">
        <v>93</v>
      </c>
      <c r="I82" s="2"/>
    </row>
    <row r="83" spans="2:11">
      <c r="B83" s="41"/>
    </row>
    <row r="84" spans="2:11">
      <c r="B84" s="41"/>
    </row>
    <row r="85" spans="2:11" ht="20.25">
      <c r="B85" s="41"/>
      <c r="C85" s="129" t="s">
        <v>316</v>
      </c>
      <c r="D85" s="46" t="s">
        <v>37</v>
      </c>
      <c r="E85" s="46" t="s">
        <v>72</v>
      </c>
      <c r="F85" s="69">
        <v>3</v>
      </c>
      <c r="G85" s="70">
        <v>2</v>
      </c>
      <c r="H85" s="59" t="s">
        <v>94</v>
      </c>
      <c r="I85" s="42" t="s">
        <v>133</v>
      </c>
    </row>
    <row r="86" spans="2:11" ht="20.25">
      <c r="B86" s="41"/>
      <c r="C86" s="129" t="s">
        <v>317</v>
      </c>
      <c r="D86" s="46" t="s">
        <v>25</v>
      </c>
      <c r="E86" s="46" t="s">
        <v>51</v>
      </c>
      <c r="F86" s="69">
        <v>0</v>
      </c>
      <c r="G86" s="70">
        <v>1</v>
      </c>
      <c r="H86" s="59" t="s">
        <v>95</v>
      </c>
      <c r="I86" s="42"/>
    </row>
    <row r="89" spans="2:11" ht="20.25">
      <c r="B89" s="41"/>
      <c r="D89" s="46" t="s">
        <v>72</v>
      </c>
      <c r="E89" s="46" t="s">
        <v>25</v>
      </c>
      <c r="F89" s="69">
        <v>2</v>
      </c>
      <c r="G89" s="70">
        <v>3</v>
      </c>
      <c r="H89" s="59" t="s">
        <v>96</v>
      </c>
      <c r="I89" s="42" t="s">
        <v>134</v>
      </c>
    </row>
    <row r="90" spans="2:11">
      <c r="B90" s="41"/>
    </row>
    <row r="91" spans="2:11">
      <c r="B91" s="41"/>
    </row>
    <row r="92" spans="2:11" ht="20.25">
      <c r="B92" s="41"/>
      <c r="D92" s="46" t="s">
        <v>37</v>
      </c>
      <c r="E92" s="46" t="s">
        <v>51</v>
      </c>
      <c r="F92" s="69">
        <v>0</v>
      </c>
      <c r="G92" s="70">
        <v>1</v>
      </c>
      <c r="H92" s="60" t="s">
        <v>75</v>
      </c>
      <c r="I92" s="42" t="s">
        <v>292</v>
      </c>
      <c r="K92" s="164"/>
    </row>
    <row r="93" spans="2:11">
      <c r="K93" s="164"/>
    </row>
    <row r="95" spans="2:11" ht="23.25">
      <c r="E95" s="14"/>
      <c r="F95" s="14"/>
      <c r="G95" s="43" t="s">
        <v>29</v>
      </c>
      <c r="H95" s="61" t="s">
        <v>51</v>
      </c>
    </row>
    <row r="97" spans="2:18" ht="15">
      <c r="C97" s="136" t="s">
        <v>289</v>
      </c>
    </row>
    <row r="99" spans="2:18" s="96" customFormat="1" ht="24.75" customHeight="1">
      <c r="B99" s="142"/>
      <c r="D99" s="97"/>
      <c r="E99" s="143" t="s">
        <v>2</v>
      </c>
      <c r="F99" s="160"/>
      <c r="G99" s="163" t="s">
        <v>288</v>
      </c>
      <c r="H99" s="162"/>
      <c r="I99" s="175"/>
      <c r="J99" s="1"/>
      <c r="P99" s="102"/>
      <c r="Q99" s="102"/>
      <c r="R99" s="102"/>
    </row>
    <row r="100" spans="2:18" ht="15">
      <c r="C100" s="137" t="s">
        <v>163</v>
      </c>
      <c r="D100" s="3" t="s">
        <v>51</v>
      </c>
      <c r="E100" s="141">
        <v>66</v>
      </c>
      <c r="G100" s="140" t="s">
        <v>231</v>
      </c>
      <c r="H100" s="3" t="s">
        <v>361</v>
      </c>
      <c r="I100" s="174"/>
      <c r="J100" s="150"/>
      <c r="K100" s="152"/>
    </row>
    <row r="101" spans="2:18" ht="15">
      <c r="C101" s="137" t="s">
        <v>142</v>
      </c>
      <c r="D101" s="3" t="s">
        <v>37</v>
      </c>
      <c r="E101" s="141">
        <v>59</v>
      </c>
      <c r="G101" s="140" t="s">
        <v>238</v>
      </c>
      <c r="H101" s="3" t="s">
        <v>362</v>
      </c>
      <c r="I101" s="174"/>
    </row>
    <row r="102" spans="2:18" ht="15">
      <c r="C102" s="137" t="s">
        <v>143</v>
      </c>
      <c r="D102" s="3" t="s">
        <v>25</v>
      </c>
      <c r="E102" s="141">
        <v>46</v>
      </c>
      <c r="G102" s="140" t="s">
        <v>238</v>
      </c>
      <c r="H102" s="3" t="s">
        <v>363</v>
      </c>
    </row>
    <row r="103" spans="2:18" ht="15">
      <c r="C103" s="137" t="s">
        <v>144</v>
      </c>
      <c r="D103" s="3" t="s">
        <v>72</v>
      </c>
      <c r="E103" s="141">
        <v>37</v>
      </c>
      <c r="G103" s="140" t="s">
        <v>223</v>
      </c>
      <c r="H103" s="3" t="s">
        <v>364</v>
      </c>
      <c r="I103" s="174"/>
    </row>
    <row r="104" spans="2:18" ht="15">
      <c r="C104" s="137" t="s">
        <v>268</v>
      </c>
      <c r="D104" s="3" t="s">
        <v>36</v>
      </c>
      <c r="E104" s="141">
        <v>29</v>
      </c>
      <c r="G104" s="140" t="s">
        <v>365</v>
      </c>
      <c r="H104" s="3" t="s">
        <v>366</v>
      </c>
      <c r="I104" s="174"/>
    </row>
    <row r="105" spans="2:18" ht="15">
      <c r="C105" s="137" t="s">
        <v>367</v>
      </c>
      <c r="D105" s="3" t="s">
        <v>20</v>
      </c>
      <c r="E105" s="141">
        <v>27</v>
      </c>
      <c r="G105" s="140" t="s">
        <v>242</v>
      </c>
      <c r="H105" s="3" t="s">
        <v>368</v>
      </c>
    </row>
    <row r="106" spans="2:18" ht="15">
      <c r="C106" s="137" t="s">
        <v>284</v>
      </c>
      <c r="D106" s="3" t="s">
        <v>34</v>
      </c>
      <c r="E106" s="141">
        <v>25</v>
      </c>
      <c r="G106" s="140" t="s">
        <v>229</v>
      </c>
      <c r="H106" s="3" t="s">
        <v>369</v>
      </c>
    </row>
    <row r="107" spans="2:18" ht="15">
      <c r="C107" s="137" t="s">
        <v>370</v>
      </c>
      <c r="D107" s="3" t="s">
        <v>43</v>
      </c>
      <c r="E107" s="141">
        <v>24</v>
      </c>
      <c r="G107" s="140" t="s">
        <v>235</v>
      </c>
      <c r="H107" s="3" t="s">
        <v>371</v>
      </c>
    </row>
    <row r="108" spans="2:18" ht="15">
      <c r="C108" s="137" t="s">
        <v>372</v>
      </c>
      <c r="D108" s="3" t="s">
        <v>47</v>
      </c>
      <c r="E108" s="141">
        <v>16</v>
      </c>
      <c r="G108" s="140" t="s">
        <v>231</v>
      </c>
      <c r="H108" s="3" t="s">
        <v>373</v>
      </c>
    </row>
    <row r="109" spans="2:18" ht="15">
      <c r="C109" s="137" t="s">
        <v>285</v>
      </c>
      <c r="D109" s="3" t="s">
        <v>66</v>
      </c>
      <c r="E109" s="141">
        <v>16</v>
      </c>
      <c r="G109" s="140" t="s">
        <v>221</v>
      </c>
      <c r="H109" s="3" t="s">
        <v>374</v>
      </c>
    </row>
    <row r="110" spans="2:18" ht="15">
      <c r="C110" s="137" t="s">
        <v>375</v>
      </c>
      <c r="D110" s="3" t="s">
        <v>41</v>
      </c>
      <c r="E110" s="141">
        <v>15</v>
      </c>
      <c r="G110" s="140" t="s">
        <v>376</v>
      </c>
      <c r="H110" s="3" t="s">
        <v>369</v>
      </c>
    </row>
    <row r="111" spans="2:18" ht="15">
      <c r="C111" s="137" t="s">
        <v>286</v>
      </c>
      <c r="D111" s="3" t="s">
        <v>44</v>
      </c>
      <c r="E111" s="141">
        <v>15</v>
      </c>
      <c r="G111" s="140" t="s">
        <v>239</v>
      </c>
      <c r="H111" s="3" t="s">
        <v>377</v>
      </c>
    </row>
    <row r="112" spans="2:18" ht="15">
      <c r="C112" s="137" t="s">
        <v>269</v>
      </c>
      <c r="D112" s="3" t="s">
        <v>33</v>
      </c>
      <c r="E112" s="141">
        <v>15</v>
      </c>
      <c r="G112" s="140" t="s">
        <v>222</v>
      </c>
      <c r="H112" s="3" t="s">
        <v>378</v>
      </c>
    </row>
    <row r="113" spans="3:8" ht="15">
      <c r="C113" s="137" t="s">
        <v>270</v>
      </c>
      <c r="D113" s="3" t="s">
        <v>38</v>
      </c>
      <c r="E113" s="141">
        <v>14</v>
      </c>
      <c r="G113" s="140" t="s">
        <v>221</v>
      </c>
      <c r="H113" s="3" t="s">
        <v>379</v>
      </c>
    </row>
    <row r="114" spans="3:8" ht="15">
      <c r="C114" s="137" t="s">
        <v>271</v>
      </c>
      <c r="D114" s="3" t="s">
        <v>60</v>
      </c>
      <c r="E114" s="141">
        <v>14</v>
      </c>
      <c r="G114" s="140" t="s">
        <v>380</v>
      </c>
      <c r="H114" s="3" t="s">
        <v>377</v>
      </c>
    </row>
    <row r="115" spans="3:8" ht="15">
      <c r="C115" s="137" t="s">
        <v>272</v>
      </c>
      <c r="D115" s="3" t="s">
        <v>65</v>
      </c>
      <c r="E115" s="141">
        <v>14</v>
      </c>
      <c r="G115" s="140" t="s">
        <v>381</v>
      </c>
      <c r="H115" s="3" t="s">
        <v>377</v>
      </c>
    </row>
    <row r="116" spans="3:8" ht="15">
      <c r="C116" s="137" t="s">
        <v>273</v>
      </c>
      <c r="D116" s="3" t="s">
        <v>192</v>
      </c>
      <c r="E116" s="141">
        <v>4</v>
      </c>
      <c r="G116" s="140" t="s">
        <v>239</v>
      </c>
      <c r="H116" s="3" t="s">
        <v>106</v>
      </c>
    </row>
    <row r="117" spans="3:8" ht="15">
      <c r="C117" s="137" t="s">
        <v>382</v>
      </c>
      <c r="D117" s="3" t="s">
        <v>71</v>
      </c>
      <c r="E117" s="141">
        <v>4</v>
      </c>
      <c r="G117" s="140" t="s">
        <v>383</v>
      </c>
      <c r="H117" s="3" t="s">
        <v>106</v>
      </c>
    </row>
    <row r="118" spans="3:8" ht="15">
      <c r="C118" s="137" t="s">
        <v>287</v>
      </c>
      <c r="D118" s="3" t="s">
        <v>49</v>
      </c>
      <c r="E118" s="141">
        <v>4</v>
      </c>
      <c r="G118" s="140" t="s">
        <v>234</v>
      </c>
      <c r="H118" s="3" t="s">
        <v>106</v>
      </c>
    </row>
    <row r="119" spans="3:8" ht="15">
      <c r="C119" s="137" t="s">
        <v>276</v>
      </c>
      <c r="D119" s="3" t="s">
        <v>61</v>
      </c>
      <c r="E119" s="141">
        <v>4</v>
      </c>
      <c r="G119" s="140" t="s">
        <v>384</v>
      </c>
      <c r="H119" s="3" t="s">
        <v>106</v>
      </c>
    </row>
    <row r="120" spans="3:8" ht="15">
      <c r="C120" s="137" t="s">
        <v>277</v>
      </c>
      <c r="D120" s="3" t="s">
        <v>46</v>
      </c>
      <c r="E120" s="141">
        <v>4</v>
      </c>
      <c r="G120" s="140" t="s">
        <v>228</v>
      </c>
      <c r="H120" s="3" t="s">
        <v>106</v>
      </c>
    </row>
    <row r="121" spans="3:8" ht="15">
      <c r="C121" s="137" t="s">
        <v>281</v>
      </c>
      <c r="D121" s="3" t="s">
        <v>63</v>
      </c>
      <c r="E121" s="141">
        <v>3</v>
      </c>
      <c r="G121" s="140" t="s">
        <v>235</v>
      </c>
      <c r="H121" s="3" t="s">
        <v>106</v>
      </c>
    </row>
    <row r="122" spans="3:8" ht="15">
      <c r="C122" s="137" t="s">
        <v>283</v>
      </c>
      <c r="D122" s="3" t="s">
        <v>54</v>
      </c>
      <c r="E122" s="141">
        <v>3</v>
      </c>
      <c r="G122" s="140" t="s">
        <v>226</v>
      </c>
      <c r="H122" s="3" t="s">
        <v>106</v>
      </c>
    </row>
    <row r="123" spans="3:8" ht="15">
      <c r="C123" s="137" t="s">
        <v>385</v>
      </c>
      <c r="D123" s="3" t="s">
        <v>64</v>
      </c>
      <c r="E123" s="141">
        <v>3</v>
      </c>
      <c r="G123" s="140" t="s">
        <v>228</v>
      </c>
      <c r="H123" s="3" t="s">
        <v>106</v>
      </c>
    </row>
    <row r="124" spans="3:8" ht="15">
      <c r="C124" s="137" t="s">
        <v>386</v>
      </c>
      <c r="D124" s="3" t="s">
        <v>70</v>
      </c>
      <c r="E124" s="141">
        <v>3</v>
      </c>
      <c r="G124" s="140" t="s">
        <v>387</v>
      </c>
      <c r="H124" s="3" t="s">
        <v>106</v>
      </c>
    </row>
    <row r="125" spans="3:8" ht="15">
      <c r="C125" s="137" t="s">
        <v>388</v>
      </c>
      <c r="D125" s="3" t="s">
        <v>42</v>
      </c>
      <c r="E125" s="141">
        <v>2</v>
      </c>
      <c r="G125" s="140" t="s">
        <v>381</v>
      </c>
      <c r="H125" s="3" t="s">
        <v>106</v>
      </c>
    </row>
    <row r="126" spans="3:8" ht="15">
      <c r="C126" s="137" t="s">
        <v>389</v>
      </c>
      <c r="D126" s="3" t="s">
        <v>67</v>
      </c>
      <c r="E126" s="141">
        <v>1</v>
      </c>
      <c r="G126" s="140" t="s">
        <v>384</v>
      </c>
      <c r="H126" s="3" t="s">
        <v>106</v>
      </c>
    </row>
    <row r="127" spans="3:8" ht="15">
      <c r="C127" s="137" t="s">
        <v>390</v>
      </c>
      <c r="D127" s="3" t="s">
        <v>69</v>
      </c>
      <c r="E127" s="141">
        <v>1</v>
      </c>
      <c r="G127" s="140" t="s">
        <v>218</v>
      </c>
      <c r="H127" s="3" t="s">
        <v>106</v>
      </c>
    </row>
    <row r="128" spans="3:8" ht="15">
      <c r="C128" s="137" t="s">
        <v>391</v>
      </c>
      <c r="D128" s="3" t="s">
        <v>48</v>
      </c>
      <c r="E128" s="141">
        <v>1</v>
      </c>
      <c r="G128" s="140" t="s">
        <v>392</v>
      </c>
      <c r="H128" s="3" t="s">
        <v>106</v>
      </c>
    </row>
    <row r="129" spans="2:8" ht="15">
      <c r="B129"/>
      <c r="C129" s="137" t="s">
        <v>393</v>
      </c>
      <c r="D129" s="3" t="s">
        <v>68</v>
      </c>
      <c r="E129" s="141">
        <v>1</v>
      </c>
      <c r="G129" s="140" t="s">
        <v>236</v>
      </c>
      <c r="H129" s="3" t="s">
        <v>106</v>
      </c>
    </row>
    <row r="130" spans="2:8" ht="15">
      <c r="B130"/>
      <c r="C130" s="137" t="s">
        <v>394</v>
      </c>
      <c r="D130" s="3" t="s">
        <v>62</v>
      </c>
      <c r="E130" s="141">
        <v>0</v>
      </c>
      <c r="G130" s="140" t="s">
        <v>387</v>
      </c>
      <c r="H130" s="3" t="s">
        <v>106</v>
      </c>
    </row>
    <row r="131" spans="2:8" ht="15">
      <c r="B131"/>
      <c r="C131" s="137" t="s">
        <v>395</v>
      </c>
      <c r="D131" s="3" t="s">
        <v>59</v>
      </c>
      <c r="E131" s="141">
        <v>0</v>
      </c>
      <c r="G131" s="140" t="s">
        <v>396</v>
      </c>
      <c r="H131" s="3" t="s">
        <v>106</v>
      </c>
    </row>
    <row r="132" spans="2:8">
      <c r="B132"/>
    </row>
    <row r="133" spans="2:8">
      <c r="B133"/>
    </row>
  </sheetData>
  <phoneticPr fontId="0" type="noConversion"/>
  <conditionalFormatting sqref="D92 D79:D82 D85:D86 D89">
    <cfRule type="expression" dxfId="81" priority="1" stopIfTrue="1">
      <formula>F79&gt;G79</formula>
    </cfRule>
  </conditionalFormatting>
  <conditionalFormatting sqref="E92 E79:E82 E85:E86 E89">
    <cfRule type="expression" dxfId="80" priority="2" stopIfTrue="1">
      <formula>G79&gt;F79</formula>
    </cfRule>
  </conditionalFormatting>
  <conditionalFormatting sqref="D3:D8 D11:D16 D19:D24 D27:D32 D35:D40 D43:D48 D51:D56 D59:D64">
    <cfRule type="expression" dxfId="79" priority="3" stopIfTrue="1">
      <formula>F3&gt;G3</formula>
    </cfRule>
    <cfRule type="expression" dxfId="78" priority="4" stopIfTrue="1">
      <formula>F3&lt;G3</formula>
    </cfRule>
  </conditionalFormatting>
  <conditionalFormatting sqref="E3:E8 E11:E16 E19:E24 E27:E32 E35:E40 E43:E48 E51:E56 E59:E64">
    <cfRule type="expression" dxfId="77" priority="5" stopIfTrue="1">
      <formula>G3&gt;F3</formula>
    </cfRule>
    <cfRule type="expression" dxfId="76" priority="6" stopIfTrue="1">
      <formula>G3&lt;F3</formula>
    </cfRule>
  </conditionalFormatting>
  <conditionalFormatting sqref="J5:J6 J13:J14 J21:J22 J29:J30 J37:J38 J45:J46 J53:J54 J61:J62">
    <cfRule type="expression" dxfId="75" priority="7" stopIfTrue="1">
      <formula>K5=3</formula>
    </cfRule>
  </conditionalFormatting>
  <conditionalFormatting sqref="J7:J8 J15:J16 J23:J24 J31:J32 J39:J40 J47:J48 J55:J56 J63:J64">
    <cfRule type="expression" dxfId="74" priority="8" stopIfTrue="1">
      <formula>K7=3</formula>
    </cfRule>
  </conditionalFormatting>
  <conditionalFormatting sqref="D69">
    <cfRule type="expression" dxfId="73" priority="9" stopIfTrue="1">
      <formula>F69&gt;G69</formula>
    </cfRule>
    <cfRule type="expression" dxfId="72" priority="10" stopIfTrue="1">
      <formula>#REF!&lt;&gt;12</formula>
    </cfRule>
  </conditionalFormatting>
  <conditionalFormatting sqref="D74">
    <cfRule type="expression" dxfId="71" priority="11" stopIfTrue="1">
      <formula>F74&gt;G74</formula>
    </cfRule>
    <cfRule type="expression" dxfId="70" priority="12" stopIfTrue="1">
      <formula>#REF!&lt;&gt;12</formula>
    </cfRule>
  </conditionalFormatting>
  <conditionalFormatting sqref="E69">
    <cfRule type="expression" dxfId="69" priority="13" stopIfTrue="1">
      <formula>G69&gt;F69</formula>
    </cfRule>
    <cfRule type="expression" dxfId="68" priority="14" stopIfTrue="1">
      <formula>#REF!&lt;&gt;12</formula>
    </cfRule>
  </conditionalFormatting>
  <conditionalFormatting sqref="D70">
    <cfRule type="expression" dxfId="67" priority="15" stopIfTrue="1">
      <formula>F70&gt;G70</formula>
    </cfRule>
    <cfRule type="expression" dxfId="66" priority="16" stopIfTrue="1">
      <formula>#REF!&lt;&gt;12</formula>
    </cfRule>
  </conditionalFormatting>
  <conditionalFormatting sqref="E70">
    <cfRule type="expression" dxfId="65" priority="17" stopIfTrue="1">
      <formula>G70&gt;F70</formula>
    </cfRule>
    <cfRule type="expression" dxfId="64" priority="18" stopIfTrue="1">
      <formula>#REF!&lt;&gt;12</formula>
    </cfRule>
  </conditionalFormatting>
  <conditionalFormatting sqref="D71">
    <cfRule type="expression" dxfId="63" priority="19" stopIfTrue="1">
      <formula>F71&gt;G71</formula>
    </cfRule>
    <cfRule type="expression" dxfId="62" priority="20" stopIfTrue="1">
      <formula>#REF!&lt;&gt;12</formula>
    </cfRule>
  </conditionalFormatting>
  <conditionalFormatting sqref="E71">
    <cfRule type="expression" dxfId="61" priority="21" stopIfTrue="1">
      <formula>G71&gt;F71</formula>
    </cfRule>
    <cfRule type="expression" dxfId="60" priority="22" stopIfTrue="1">
      <formula>#REF!&lt;&gt;12</formula>
    </cfRule>
  </conditionalFormatting>
  <conditionalFormatting sqref="D72">
    <cfRule type="expression" dxfId="59" priority="23" stopIfTrue="1">
      <formula>F72&gt;G72</formula>
    </cfRule>
    <cfRule type="expression" dxfId="58" priority="24" stopIfTrue="1">
      <formula>#REF!&lt;&gt;12</formula>
    </cfRule>
  </conditionalFormatting>
  <conditionalFormatting sqref="E72">
    <cfRule type="expression" dxfId="57" priority="25" stopIfTrue="1">
      <formula>G72&gt;F72</formula>
    </cfRule>
    <cfRule type="expression" dxfId="56" priority="26" stopIfTrue="1">
      <formula>#REF!&lt;&gt;12</formula>
    </cfRule>
  </conditionalFormatting>
  <conditionalFormatting sqref="D73">
    <cfRule type="expression" dxfId="55" priority="27" stopIfTrue="1">
      <formula>F73&gt;G73</formula>
    </cfRule>
    <cfRule type="expression" dxfId="54" priority="28" stopIfTrue="1">
      <formula>#REF!&lt;&gt;12</formula>
    </cfRule>
  </conditionalFormatting>
  <conditionalFormatting sqref="E73">
    <cfRule type="expression" dxfId="53" priority="29" stopIfTrue="1">
      <formula>G73&gt;F73</formula>
    </cfRule>
    <cfRule type="expression" dxfId="52" priority="30" stopIfTrue="1">
      <formula>#REF!&lt;&gt;12</formula>
    </cfRule>
  </conditionalFormatting>
  <conditionalFormatting sqref="D75">
    <cfRule type="expression" dxfId="51" priority="31" stopIfTrue="1">
      <formula>F75&gt;G75</formula>
    </cfRule>
    <cfRule type="expression" dxfId="50" priority="32" stopIfTrue="1">
      <formula>#REF!&lt;&gt;12</formula>
    </cfRule>
  </conditionalFormatting>
  <conditionalFormatting sqref="E75">
    <cfRule type="expression" dxfId="49" priority="33" stopIfTrue="1">
      <formula>G75&gt;F75</formula>
    </cfRule>
    <cfRule type="expression" dxfId="48" priority="34" stopIfTrue="1">
      <formula>#REF!&lt;&gt;12</formula>
    </cfRule>
  </conditionalFormatting>
  <conditionalFormatting sqref="E76">
    <cfRule type="expression" dxfId="47" priority="35" stopIfTrue="1">
      <formula>G76&gt;F76</formula>
    </cfRule>
    <cfRule type="expression" dxfId="46" priority="36" stopIfTrue="1">
      <formula>#REF!&lt;&gt;12</formula>
    </cfRule>
  </conditionalFormatting>
  <conditionalFormatting sqref="E74">
    <cfRule type="expression" dxfId="45" priority="37" stopIfTrue="1">
      <formula>G74&gt;F74</formula>
    </cfRule>
    <cfRule type="expression" dxfId="44" priority="38" stopIfTrue="1">
      <formula>#REF!&lt;&gt;12</formula>
    </cfRule>
  </conditionalFormatting>
  <conditionalFormatting sqref="D76">
    <cfRule type="expression" dxfId="43" priority="39" stopIfTrue="1">
      <formula>F76&gt;G76</formula>
    </cfRule>
    <cfRule type="expression" dxfId="42" priority="40" stopIfTrue="1">
      <formula>#REF!&lt;&gt;12</formula>
    </cfRule>
  </conditionalFormatting>
  <pageMargins left="0.23" right="0.24" top="0.52" bottom="0.55000000000000004" header="0.27" footer="0.17"/>
  <pageSetup paperSize="9" scale="78" fitToHeight="2" orientation="portrait" blackAndWhite="1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0"/>
  <sheetViews>
    <sheetView showGridLines="0" zoomScale="110" workbookViewId="0">
      <selection activeCell="C4" sqref="C4"/>
    </sheetView>
  </sheetViews>
  <sheetFormatPr baseColWidth="10" defaultColWidth="12.5703125" defaultRowHeight="14.25"/>
  <cols>
    <col min="1" max="1" width="17.140625" style="53" customWidth="1"/>
    <col min="2" max="2" width="4.140625" style="53" customWidth="1"/>
    <col min="3" max="3" width="13.42578125" style="53" customWidth="1"/>
    <col min="4" max="4" width="4.140625" style="53" customWidth="1"/>
    <col min="5" max="5" width="4.85546875" style="53" customWidth="1"/>
    <col min="6" max="6" width="14.28515625" style="53" customWidth="1"/>
    <col min="7" max="7" width="4.28515625" style="53" customWidth="1"/>
    <col min="8" max="8" width="7.85546875" style="53" customWidth="1"/>
    <col min="9" max="9" width="4.7109375" style="53" bestFit="1" customWidth="1"/>
    <col min="10" max="10" width="1.5703125" style="53" customWidth="1"/>
    <col min="11" max="16384" width="12.5703125" style="53"/>
  </cols>
  <sheetData>
    <row r="1" spans="1:11" ht="15">
      <c r="A1" s="56" t="s">
        <v>73</v>
      </c>
      <c r="B1" s="56"/>
      <c r="D1" s="56"/>
      <c r="G1" s="259" t="s">
        <v>328</v>
      </c>
    </row>
    <row r="2" spans="1:11" ht="15">
      <c r="A2" s="56"/>
      <c r="B2" s="56"/>
      <c r="D2" s="56"/>
      <c r="G2" s="243"/>
      <c r="H2" s="243"/>
    </row>
    <row r="3" spans="1:11" ht="15">
      <c r="A3" s="54" t="s">
        <v>69</v>
      </c>
      <c r="B3" s="254" t="s">
        <v>55</v>
      </c>
      <c r="C3" s="274" t="s">
        <v>62</v>
      </c>
      <c r="D3" s="275" t="s">
        <v>55</v>
      </c>
      <c r="E3" s="52"/>
      <c r="F3" s="54" t="s">
        <v>157</v>
      </c>
      <c r="G3" s="254" t="s">
        <v>136</v>
      </c>
      <c r="H3" s="200"/>
      <c r="I3" s="258">
        <v>13</v>
      </c>
      <c r="J3" s="251"/>
      <c r="K3" s="250" t="s">
        <v>399</v>
      </c>
    </row>
    <row r="4" spans="1:11" ht="15">
      <c r="A4" s="54" t="s">
        <v>36</v>
      </c>
      <c r="B4" s="254" t="s">
        <v>278</v>
      </c>
      <c r="C4" s="274" t="s">
        <v>38</v>
      </c>
      <c r="D4" s="275" t="s">
        <v>279</v>
      </c>
      <c r="E4" s="52"/>
      <c r="F4" s="276" t="s">
        <v>437</v>
      </c>
      <c r="G4" s="254" t="s">
        <v>136</v>
      </c>
      <c r="I4" s="257"/>
    </row>
    <row r="5" spans="1:11" ht="15">
      <c r="A5" s="54" t="s">
        <v>46</v>
      </c>
      <c r="B5" s="254" t="s">
        <v>436</v>
      </c>
      <c r="C5" s="253" t="s">
        <v>63</v>
      </c>
      <c r="D5" s="255" t="s">
        <v>403</v>
      </c>
      <c r="E5" s="52"/>
      <c r="F5" s="203" t="s">
        <v>30</v>
      </c>
      <c r="G5" s="254" t="s">
        <v>279</v>
      </c>
      <c r="I5" s="258">
        <v>5</v>
      </c>
      <c r="J5" s="251"/>
      <c r="K5" s="250" t="s">
        <v>400</v>
      </c>
    </row>
    <row r="6" spans="1:11" ht="15">
      <c r="A6" s="54" t="s">
        <v>20</v>
      </c>
      <c r="B6" s="254" t="s">
        <v>278</v>
      </c>
      <c r="C6" s="274" t="s">
        <v>67</v>
      </c>
      <c r="D6" s="275" t="s">
        <v>55</v>
      </c>
      <c r="E6" s="52"/>
      <c r="F6" s="203" t="s">
        <v>32</v>
      </c>
      <c r="G6" s="254" t="s">
        <v>278</v>
      </c>
      <c r="I6" s="257"/>
    </row>
    <row r="7" spans="1:11" ht="15">
      <c r="A7" s="54" t="s">
        <v>66</v>
      </c>
      <c r="B7" s="254" t="s">
        <v>278</v>
      </c>
      <c r="C7" s="253" t="s">
        <v>59</v>
      </c>
      <c r="D7" s="255" t="s">
        <v>358</v>
      </c>
      <c r="E7" s="52"/>
      <c r="F7" s="202" t="s">
        <v>39</v>
      </c>
      <c r="G7" s="254" t="s">
        <v>436</v>
      </c>
      <c r="I7" s="258">
        <v>4.5</v>
      </c>
      <c r="J7" s="251"/>
      <c r="K7" s="250" t="s">
        <v>439</v>
      </c>
    </row>
    <row r="8" spans="1:11" ht="15">
      <c r="A8" s="253" t="s">
        <v>64</v>
      </c>
      <c r="B8" s="255" t="s">
        <v>136</v>
      </c>
      <c r="C8" s="253" t="s">
        <v>34</v>
      </c>
      <c r="D8" s="255" t="s">
        <v>278</v>
      </c>
      <c r="E8" s="52"/>
      <c r="F8" s="54" t="s">
        <v>180</v>
      </c>
      <c r="G8" s="254" t="s">
        <v>278</v>
      </c>
      <c r="I8" s="258">
        <f>1+4.5</f>
        <v>5.5</v>
      </c>
      <c r="J8" s="251"/>
      <c r="K8" s="250" t="s">
        <v>446</v>
      </c>
    </row>
    <row r="9" spans="1:11" ht="15">
      <c r="A9" s="54" t="s">
        <v>140</v>
      </c>
      <c r="B9" s="254" t="s">
        <v>136</v>
      </c>
      <c r="C9" s="274" t="s">
        <v>41</v>
      </c>
      <c r="D9" s="275" t="s">
        <v>136</v>
      </c>
      <c r="E9" s="52"/>
      <c r="F9" s="203" t="s">
        <v>45</v>
      </c>
      <c r="G9" s="254" t="s">
        <v>136</v>
      </c>
    </row>
    <row r="10" spans="1:11" ht="15">
      <c r="A10" s="54" t="s">
        <v>192</v>
      </c>
      <c r="B10" s="254" t="s">
        <v>55</v>
      </c>
      <c r="C10" s="54" t="s">
        <v>49</v>
      </c>
      <c r="D10" s="254" t="s">
        <v>136</v>
      </c>
      <c r="E10" s="52"/>
      <c r="F10" s="54" t="s">
        <v>211</v>
      </c>
      <c r="G10" s="254" t="s">
        <v>136</v>
      </c>
      <c r="H10" s="200"/>
      <c r="I10" s="258">
        <v>0.5</v>
      </c>
      <c r="J10" s="251"/>
      <c r="K10" s="250" t="s">
        <v>401</v>
      </c>
    </row>
    <row r="11" spans="1:11" ht="15">
      <c r="A11" s="54" t="s">
        <v>33</v>
      </c>
      <c r="B11" s="254" t="s">
        <v>136</v>
      </c>
      <c r="C11" s="253" t="s">
        <v>54</v>
      </c>
      <c r="D11" s="255" t="s">
        <v>136</v>
      </c>
      <c r="F11" s="204"/>
      <c r="G11" s="254"/>
      <c r="H11" s="201"/>
      <c r="I11" s="258">
        <v>3.5</v>
      </c>
      <c r="J11" s="251"/>
      <c r="K11" s="250" t="s">
        <v>402</v>
      </c>
    </row>
    <row r="12" spans="1:11" ht="15">
      <c r="A12" s="54" t="s">
        <v>48</v>
      </c>
      <c r="B12" s="254" t="s">
        <v>136</v>
      </c>
      <c r="C12" s="253" t="s">
        <v>65</v>
      </c>
      <c r="D12" s="255" t="s">
        <v>136</v>
      </c>
      <c r="E12" s="52"/>
      <c r="F12" s="202"/>
      <c r="G12" s="254"/>
      <c r="H12" s="200"/>
      <c r="I12" s="272" t="s">
        <v>438</v>
      </c>
      <c r="J12" s="252"/>
    </row>
    <row r="13" spans="1:11" ht="15">
      <c r="A13" s="54" t="s">
        <v>43</v>
      </c>
      <c r="B13" s="254" t="s">
        <v>55</v>
      </c>
      <c r="C13" s="253" t="s">
        <v>71</v>
      </c>
      <c r="D13" s="255" t="s">
        <v>136</v>
      </c>
      <c r="E13" s="52"/>
      <c r="F13" s="202"/>
      <c r="G13" s="254"/>
      <c r="H13" s="200"/>
      <c r="I13" s="254">
        <f>SUM(I3:I11)</f>
        <v>32</v>
      </c>
    </row>
    <row r="14" spans="1:11" ht="15">
      <c r="A14" s="54" t="s">
        <v>70</v>
      </c>
      <c r="B14" s="254" t="s">
        <v>136</v>
      </c>
      <c r="C14" s="54" t="s">
        <v>326</v>
      </c>
      <c r="D14" s="254" t="s">
        <v>136</v>
      </c>
      <c r="E14" s="52"/>
      <c r="F14" s="202"/>
      <c r="G14" s="200"/>
      <c r="H14" s="200"/>
    </row>
    <row r="15" spans="1:11" ht="15">
      <c r="A15" s="54" t="s">
        <v>325</v>
      </c>
      <c r="B15" s="254" t="s">
        <v>136</v>
      </c>
      <c r="C15" s="253" t="s">
        <v>61</v>
      </c>
      <c r="D15" s="255" t="s">
        <v>55</v>
      </c>
      <c r="E15" s="52"/>
      <c r="F15" s="202"/>
      <c r="G15" s="200"/>
      <c r="H15" s="200"/>
    </row>
    <row r="16" spans="1:11" ht="15">
      <c r="A16" s="54" t="s">
        <v>68</v>
      </c>
      <c r="B16" s="254" t="s">
        <v>279</v>
      </c>
      <c r="C16" s="54" t="s">
        <v>60</v>
      </c>
      <c r="D16" s="254" t="s">
        <v>436</v>
      </c>
      <c r="E16" s="52"/>
      <c r="F16" s="202"/>
      <c r="G16" s="200"/>
      <c r="H16" s="200"/>
    </row>
    <row r="17" spans="1:8" ht="15">
      <c r="A17" s="54" t="s">
        <v>42</v>
      </c>
      <c r="B17" s="254" t="s">
        <v>136</v>
      </c>
      <c r="C17" s="54" t="s">
        <v>327</v>
      </c>
      <c r="D17" s="254" t="s">
        <v>278</v>
      </c>
      <c r="E17" s="52"/>
      <c r="F17" s="54"/>
      <c r="G17" s="200"/>
      <c r="H17" s="200"/>
    </row>
    <row r="18" spans="1:8" ht="15">
      <c r="A18" s="54" t="s">
        <v>47</v>
      </c>
      <c r="B18" s="254" t="s">
        <v>436</v>
      </c>
      <c r="C18" s="54" t="s">
        <v>44</v>
      </c>
      <c r="D18" s="254" t="s">
        <v>279</v>
      </c>
      <c r="F18" s="204"/>
      <c r="G18" s="201"/>
      <c r="H18" s="201"/>
    </row>
    <row r="49" spans="1:4">
      <c r="A49" s="55"/>
      <c r="B49" s="55"/>
      <c r="D49" s="55"/>
    </row>
    <row r="50" spans="1:4">
      <c r="A50" s="55"/>
      <c r="B50" s="55"/>
      <c r="D50" s="55"/>
    </row>
  </sheetData>
  <phoneticPr fontId="1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BD379"/>
  <sheetViews>
    <sheetView showGridLines="0" tabSelected="1" showOutlineSymbols="0" zoomScale="103" workbookViewId="0">
      <pane ySplit="1" topLeftCell="A237" activePane="bottomLeft" state="frozen"/>
      <selection pane="bottomLeft" activeCell="AT317" sqref="AT317"/>
    </sheetView>
  </sheetViews>
  <sheetFormatPr baseColWidth="10" defaultRowHeight="14.25" outlineLevelRow="1" outlineLevelCol="1"/>
  <cols>
    <col min="1" max="1" width="2.42578125" style="1" customWidth="1"/>
    <col min="2" max="2" width="14.85546875" style="50" customWidth="1"/>
    <col min="3" max="3" width="4.42578125" style="1" customWidth="1"/>
    <col min="4" max="4" width="15.140625" style="3" customWidth="1"/>
    <col min="5" max="5" width="15" style="3" customWidth="1"/>
    <col min="6" max="6" width="3.85546875" style="1" customWidth="1"/>
    <col min="7" max="7" width="4.140625" style="1" customWidth="1"/>
    <col min="8" max="8" width="18" style="59" customWidth="1"/>
    <col min="9" max="9" width="6.42578125" style="1" hidden="1" customWidth="1" outlineLevel="1"/>
    <col min="10" max="11" width="5.7109375" style="1" hidden="1" customWidth="1" outlineLevel="1"/>
    <col min="12" max="12" width="5.85546875" style="1" hidden="1" customWidth="1" outlineLevel="1"/>
    <col min="13" max="13" width="11.42578125" style="1" hidden="1" customWidth="1" outlineLevel="1"/>
    <col min="14" max="14" width="3.28515625" style="1" hidden="1" customWidth="1" outlineLevel="1"/>
    <col min="15" max="15" width="12" style="1" hidden="1" customWidth="1" outlineLevel="1"/>
    <col min="16" max="16" width="4" style="1" hidden="1" customWidth="1" outlineLevel="1"/>
    <col min="17" max="17" width="9.140625" style="1" hidden="1" customWidth="1" outlineLevel="1"/>
    <col min="18" max="18" width="6.140625" style="1" hidden="1" customWidth="1" outlineLevel="1"/>
    <col min="19" max="19" width="5.140625" style="1" hidden="1" customWidth="1" outlineLevel="1"/>
    <col min="20" max="20" width="5.85546875" style="1" hidden="1" customWidth="1" outlineLevel="1"/>
    <col min="21" max="21" width="6" style="1" hidden="1" customWidth="1" outlineLevel="1"/>
    <col min="22" max="22" width="6.140625" style="1" hidden="1" customWidth="1" outlineLevel="1"/>
    <col min="23" max="23" width="5.28515625" style="1" hidden="1" customWidth="1" outlineLevel="1"/>
    <col min="24" max="24" width="9.5703125" style="1" hidden="1" customWidth="1" outlineLevel="1"/>
    <col min="25" max="25" width="7.85546875" style="1" hidden="1" customWidth="1" outlineLevel="1"/>
    <col min="26" max="26" width="6.5703125" style="1" hidden="1" customWidth="1" outlineLevel="1"/>
    <col min="27" max="27" width="16" style="1" hidden="1" customWidth="1" outlineLevel="1"/>
    <col min="28" max="28" width="8.42578125" style="1" hidden="1" customWidth="1" outlineLevel="1"/>
    <col min="29" max="29" width="6" style="1" hidden="1" customWidth="1" outlineLevel="1"/>
    <col min="30" max="31" width="5.42578125" style="1" hidden="1" customWidth="1" outlineLevel="1"/>
    <col min="32" max="32" width="8.28515625" style="1" hidden="1" customWidth="1" outlineLevel="1"/>
    <col min="33" max="33" width="6.140625" style="1" hidden="1" customWidth="1" outlineLevel="1"/>
    <col min="34" max="34" width="5.7109375" style="1" hidden="1" customWidth="1" outlineLevel="1"/>
    <col min="35" max="35" width="6.42578125" style="1" hidden="1" customWidth="1" outlineLevel="1"/>
    <col min="36" max="36" width="7" style="1" hidden="1" customWidth="1" outlineLevel="1"/>
    <col min="37" max="37" width="4.28515625" style="1" hidden="1" customWidth="1" outlineLevel="1"/>
    <col min="38" max="38" width="8.140625" style="1" hidden="1" customWidth="1" outlineLevel="1"/>
    <col min="39" max="39" width="5.28515625" style="1" hidden="1" customWidth="1" outlineLevel="1"/>
    <col min="40" max="40" width="6" style="1" hidden="1" customWidth="1" outlineLevel="1"/>
    <col min="41" max="41" width="6.140625" style="1" hidden="1" customWidth="1" outlineLevel="1"/>
    <col min="42" max="42" width="5" style="1" hidden="1" customWidth="1" outlineLevel="1"/>
    <col min="43" max="44" width="6.42578125" style="1" hidden="1" customWidth="1" outlineLevel="1"/>
    <col min="45" max="45" width="3.42578125" style="1" customWidth="1" collapsed="1"/>
    <col min="46" max="46" width="17.28515625" style="1" customWidth="1"/>
    <col min="47" max="47" width="5.42578125" style="1" customWidth="1"/>
    <col min="48" max="48" width="8.42578125" style="1" customWidth="1"/>
    <col min="49" max="49" width="5.28515625" style="1" customWidth="1"/>
    <col min="50" max="50" width="3.42578125" style="1" customWidth="1"/>
    <col min="51" max="51" width="4" style="1" customWidth="1"/>
    <col min="52" max="54" width="2.7109375" style="22" customWidth="1"/>
    <col min="55" max="55" width="11.42578125" style="1"/>
    <col min="56" max="56" width="7.85546875" style="1" customWidth="1"/>
    <col min="57" max="16384" width="11.42578125" style="1"/>
  </cols>
  <sheetData>
    <row r="1" spans="1:56" s="96" customFormat="1" ht="29.25" customHeight="1">
      <c r="A1" s="94"/>
      <c r="B1" s="95" t="s">
        <v>357</v>
      </c>
      <c r="D1" s="97"/>
      <c r="E1" s="256"/>
      <c r="F1" s="99"/>
      <c r="G1" s="99"/>
      <c r="H1" s="247" t="s">
        <v>447</v>
      </c>
      <c r="I1" s="96">
        <v>3</v>
      </c>
      <c r="J1" s="96">
        <v>1</v>
      </c>
      <c r="AQ1" s="96">
        <f>ROUND(SUM(AX5:AX468)+SUM(I314:I338),0)</f>
        <v>0</v>
      </c>
      <c r="AR1" s="96">
        <f>SUM(AU5:AU338)/2+COUNTIF(I314:I338,"&gt;0")</f>
        <v>0</v>
      </c>
      <c r="AS1" s="101" t="str">
        <f>IF(AR1=0,"",IF(AR1&lt;64,"bisher: ","")&amp;AR1&amp;" Spiel"&amp;IF(AR1&gt;1,"e","")&amp;", "&amp;AQ1&amp;IF(AQ1=1," Tor ("," Tore (")&amp;ROUND(AQ1/AR1,2)&amp;" im Schnitt)")</f>
        <v/>
      </c>
      <c r="AT1" s="99"/>
      <c r="AU1" s="99"/>
      <c r="AX1" s="99"/>
      <c r="AZ1" s="102"/>
      <c r="BA1" s="102"/>
      <c r="BB1" s="102"/>
      <c r="BD1" s="128" t="str">
        <f>IF(AR1=0,"","2010: "&amp;SUM(BD10:BD39)&amp;" Tore ("&amp;ROUND(SUM(BD10:BD39)/AR1,2)&amp;")")</f>
        <v/>
      </c>
    </row>
    <row r="2" spans="1:56" ht="15" customHeight="1" thickBot="1">
      <c r="B2" s="2"/>
      <c r="E2" s="4"/>
      <c r="I2" s="1">
        <f>I1</f>
        <v>3</v>
      </c>
      <c r="J2" s="1">
        <f>J1</f>
        <v>1</v>
      </c>
      <c r="AS2" s="40"/>
      <c r="BC2" s="40"/>
    </row>
    <row r="3" spans="1:56" ht="18">
      <c r="B3" s="47" t="s">
        <v>0</v>
      </c>
      <c r="C3" s="1">
        <v>1</v>
      </c>
      <c r="D3" s="46" t="str">
        <f>B5</f>
        <v>Brasilien</v>
      </c>
      <c r="E3" s="46" t="str">
        <f>B6</f>
        <v>Kroatien</v>
      </c>
      <c r="F3" s="69"/>
      <c r="G3" s="70"/>
      <c r="H3" s="207">
        <v>41802.916666666664</v>
      </c>
      <c r="I3" s="1">
        <f>IF(F3="",0,IF(F3=G3,J$2,IF(F3&gt;G3,I$2,0)))</f>
        <v>0</v>
      </c>
      <c r="J3" s="1">
        <f>IF(G3="",0,IF(F3=G3,J$2,IF(F3&lt;G3,I$2,0)))</f>
        <v>0</v>
      </c>
      <c r="N3" s="7"/>
      <c r="O3" s="8"/>
      <c r="P3" s="9" t="s">
        <v>1</v>
      </c>
      <c r="Q3" s="9" t="s">
        <v>2</v>
      </c>
      <c r="R3" s="10" t="s">
        <v>3</v>
      </c>
      <c r="S3" s="11" t="s">
        <v>4</v>
      </c>
      <c r="T3" s="12" t="s">
        <v>5</v>
      </c>
      <c r="U3" s="10" t="s">
        <v>6</v>
      </c>
      <c r="V3" s="9" t="s">
        <v>7</v>
      </c>
      <c r="W3" s="13" t="s">
        <v>8</v>
      </c>
      <c r="Y3" s="14"/>
      <c r="Z3"/>
      <c r="AA3"/>
      <c r="AB3" s="15" t="s">
        <v>9</v>
      </c>
      <c r="AF3"/>
      <c r="AG3"/>
      <c r="AS3" s="7"/>
      <c r="AT3" s="8"/>
      <c r="AU3" s="9" t="s">
        <v>1</v>
      </c>
      <c r="AV3" s="9" t="s">
        <v>2</v>
      </c>
      <c r="AW3" s="10" t="s">
        <v>3</v>
      </c>
      <c r="AX3" s="11" t="s">
        <v>4</v>
      </c>
      <c r="AY3" s="12" t="s">
        <v>5</v>
      </c>
      <c r="AZ3" s="64" t="s">
        <v>6</v>
      </c>
      <c r="BA3" s="64" t="s">
        <v>7</v>
      </c>
      <c r="BB3" s="65" t="s">
        <v>8</v>
      </c>
      <c r="BD3" s="248" t="s">
        <v>397</v>
      </c>
    </row>
    <row r="4" spans="1:56">
      <c r="B4" s="48"/>
      <c r="C4" s="1">
        <v>2</v>
      </c>
      <c r="D4" s="46" t="str">
        <f>B7</f>
        <v>Mexico</v>
      </c>
      <c r="E4" s="46" t="str">
        <f>B8</f>
        <v>Kamerun</v>
      </c>
      <c r="F4" s="69"/>
      <c r="G4" s="70"/>
      <c r="H4" s="207">
        <v>41803.75</v>
      </c>
      <c r="I4" s="1">
        <f>IF(F4="",0,IF(F4=G4,J$2,IF(F4&gt;G4,I$2,0)))</f>
        <v>0</v>
      </c>
      <c r="J4" s="1">
        <f>IF(G4="",0,IF(F4=G4,J$2,IF(F4&lt;G4,I$2,0)))</f>
        <v>0</v>
      </c>
      <c r="N4" s="16"/>
      <c r="O4" s="17"/>
      <c r="P4" s="14"/>
      <c r="Q4" s="17"/>
      <c r="R4" s="18"/>
      <c r="S4" s="18"/>
      <c r="T4" s="19"/>
      <c r="W4" s="20"/>
      <c r="Y4" s="14"/>
      <c r="Z4"/>
      <c r="AA4"/>
      <c r="AF4"/>
      <c r="AG4"/>
      <c r="AH4" s="21" t="s">
        <v>10</v>
      </c>
      <c r="AN4" s="21" t="s">
        <v>11</v>
      </c>
      <c r="AS4" s="16"/>
      <c r="AT4" s="17"/>
      <c r="AU4" s="14"/>
      <c r="AV4" s="17"/>
      <c r="AW4" s="18"/>
      <c r="AX4" s="18"/>
      <c r="AY4" s="19"/>
      <c r="BB4" s="66"/>
    </row>
    <row r="5" spans="1:56" ht="15">
      <c r="A5" s="71"/>
      <c r="B5" s="72" t="s">
        <v>20</v>
      </c>
      <c r="C5" s="1">
        <v>3</v>
      </c>
      <c r="D5" s="46" t="str">
        <f>B5</f>
        <v>Brasilien</v>
      </c>
      <c r="E5" s="46" t="str">
        <f>B7</f>
        <v>Mexico</v>
      </c>
      <c r="F5" s="69"/>
      <c r="G5" s="70"/>
      <c r="H5" s="246">
        <v>41807.875</v>
      </c>
      <c r="I5" s="1">
        <f>IF(F14="",0,IF(F14=G14,J$2,IF(F14&gt;G14,I$2,0)))</f>
        <v>0</v>
      </c>
      <c r="J5" s="1">
        <f>IF(G14="",0,IF(F14=G14,J$2,IF(F14&lt;G14,I$2,0)))</f>
        <v>0</v>
      </c>
      <c r="K5" s="1">
        <v>1</v>
      </c>
      <c r="L5" s="1">
        <f>IF(OR(Q$5+Q$6+Q$7=3*Q$5,Q$8+Q$6+Q$7=3*Q$8,AE5+AK5+AQ5=0),K5,AE5+AK5+AQ5)</f>
        <v>1</v>
      </c>
      <c r="M5" s="22">
        <f>INT(VLOOKUP($K5,$A$33:$G$37,2,0))</f>
        <v>10110</v>
      </c>
      <c r="N5" s="23">
        <f>1</f>
        <v>1</v>
      </c>
      <c r="O5" s="24" t="str">
        <f>VLOOKUP($K5,$A$33:$G$37,3,0)</f>
        <v>Brasilien</v>
      </c>
      <c r="P5" s="22">
        <f>VLOOKUP($K5,$A$33:$K$37,11,0)</f>
        <v>0</v>
      </c>
      <c r="Q5" s="25">
        <f>VLOOKUP($K5,$A$33:$G$37,4,0)</f>
        <v>0</v>
      </c>
      <c r="R5" s="18">
        <f>VLOOKUP($K5,$A$33:$G$37,5,0)</f>
        <v>0</v>
      </c>
      <c r="S5" s="18">
        <f>VLOOKUP($K5,$A$33:$G$37,6,0)</f>
        <v>0</v>
      </c>
      <c r="T5" s="19">
        <f>VLOOKUP($K5,$A$33:$G$37,7,0)</f>
        <v>0</v>
      </c>
      <c r="U5" s="14">
        <f>VLOOKUP($K5,$A$33:$M$37,12,0)</f>
        <v>0</v>
      </c>
      <c r="V5" s="1">
        <f>VLOOKUP($K5,$A$33:$M$37,13,0)</f>
        <v>0</v>
      </c>
      <c r="W5" s="20">
        <f>P5-U5-V5</f>
        <v>0</v>
      </c>
      <c r="X5" s="25" t="str">
        <f>VLOOKUP($K5,$A$33:$G$37,4,0)&amp;" "&amp;VLOOKUP($K5,$A$33:$P$37,15,0)</f>
        <v xml:space="preserve">0 </v>
      </c>
      <c r="Y5" s="1">
        <f>INT(VLOOKUP($K5,$A$33:$H$37,8,0))</f>
        <v>10000</v>
      </c>
      <c r="Z5" s="1">
        <f>IF(AND(Y$5=Y$6,OR(AND(D3=O$5,E3=O$6),AND(D3=O$6,E3=O$5))),1,0)</f>
        <v>1</v>
      </c>
      <c r="AA5" s="1" t="str">
        <f t="shared" ref="AA5:AA10" si="0">VLOOKUP($Z5,$C$3:$G$8,2,0)</f>
        <v>Brasilien</v>
      </c>
      <c r="AB5" s="1" t="str">
        <f t="shared" ref="AB5:AB10" si="1">VLOOKUP($Z5,$C$3:$G$8,3,0)</f>
        <v>Kroatien</v>
      </c>
      <c r="AC5" s="1">
        <f t="shared" ref="AC5:AC10" si="2">VLOOKUP($Z5,$C$3:$G$8,4,0)</f>
        <v>0</v>
      </c>
      <c r="AD5" s="1">
        <f t="shared" ref="AD5:AD10" si="3">VLOOKUP($Z5,$C$3:$G$8,5,0)</f>
        <v>0</v>
      </c>
      <c r="AE5" s="1">
        <f>IF(ISERROR(AC12),0,IF(AC12=0,0,IF(OR(AND(AA12=O5,AC12&gt;0),AND(AB12=O5,AC12&lt;0)),1,2)))</f>
        <v>0</v>
      </c>
      <c r="AF5" s="1">
        <f>IF(AND($Y$6=$Y$7,OR(AND($D3=$O$6,$E3=$O$7),AND($D3=$O$7,$E3=$O$6))),1,0)</f>
        <v>0</v>
      </c>
      <c r="AG5" s="1" t="e">
        <f t="shared" ref="AG5:AG10" si="4">VLOOKUP($AF5,$C$3:$G$8,2,0)</f>
        <v>#N/A</v>
      </c>
      <c r="AH5" s="1" t="e">
        <f t="shared" ref="AH5:AH10" si="5">VLOOKUP($AF5,$C$3:$G$8,3,0)</f>
        <v>#N/A</v>
      </c>
      <c r="AI5" s="1" t="e">
        <f t="shared" ref="AI5:AI10" si="6">VLOOKUP($AF5,$C$3:$G$8,4,0)</f>
        <v>#N/A</v>
      </c>
      <c r="AJ5" s="1" t="e">
        <f t="shared" ref="AJ5:AJ10" si="7">VLOOKUP($AF5,$C$3:$G$8,5,0)</f>
        <v>#N/A</v>
      </c>
      <c r="AK5"/>
      <c r="AL5" s="1">
        <f>IF(AND($Y$7=$Y$8,OR(AND($D3=$O$7,$E3=$O$8),AND($D3=$O$8,$E3=$O$7))),1,0)</f>
        <v>0</v>
      </c>
      <c r="AM5" s="1" t="e">
        <f t="shared" ref="AM5:AM10" si="8">VLOOKUP($AL5,$C$3:$G$8,2,0)</f>
        <v>#N/A</v>
      </c>
      <c r="AN5" s="1" t="e">
        <f t="shared" ref="AN5:AN10" si="9">VLOOKUP($AL5,$C$3:$G$8,3,0)</f>
        <v>#N/A</v>
      </c>
      <c r="AO5" s="1" t="e">
        <f t="shared" ref="AO5:AO10" si="10">VLOOKUP($AL5,$C$3:$G$8,4,0)</f>
        <v>#N/A</v>
      </c>
      <c r="AP5" s="1" t="e">
        <f t="shared" ref="AP5:AP10" si="11">VLOOKUP($AL5,$C$3:$G$8,5,0)</f>
        <v>#N/A</v>
      </c>
      <c r="AS5" s="23">
        <v>1</v>
      </c>
      <c r="AT5" s="24" t="str">
        <f>VLOOKUP($K5,$L$5:$W$8,4,0)</f>
        <v>Brasilien</v>
      </c>
      <c r="AU5" s="22">
        <f>VLOOKUP($K5,$L$5:$W$8,5,0)</f>
        <v>0</v>
      </c>
      <c r="AV5" s="25" t="str">
        <f>VLOOKUP($K5,$L$5:$X$8,13,0)</f>
        <v xml:space="preserve">0 </v>
      </c>
      <c r="AW5" s="18">
        <f>VLOOKUP($K5,$L$5:$W$8,7,0)</f>
        <v>0</v>
      </c>
      <c r="AX5" s="18">
        <f>VLOOKUP($K5,$L$5:$W$8,8,0)</f>
        <v>0</v>
      </c>
      <c r="AY5" s="19">
        <f>VLOOKUP($K5,$L$5:$W$8,9,0)</f>
        <v>0</v>
      </c>
      <c r="AZ5" s="51">
        <f>VLOOKUP($K5,$L$5:$W$8,10,0)</f>
        <v>0</v>
      </c>
      <c r="BA5" s="22">
        <f>VLOOKUP($K5,$L$5:$W$8,11,0)</f>
        <v>0</v>
      </c>
      <c r="BB5" s="66">
        <f>VLOOKUP($K5,$L$5:$W$8,12,0)</f>
        <v>0</v>
      </c>
    </row>
    <row r="6" spans="1:56" ht="15">
      <c r="A6" s="71"/>
      <c r="B6" s="72" t="s">
        <v>45</v>
      </c>
      <c r="C6" s="1">
        <v>4</v>
      </c>
      <c r="D6" s="46" t="str">
        <f>B6</f>
        <v>Kroatien</v>
      </c>
      <c r="E6" s="46" t="str">
        <f>B8</f>
        <v>Kamerun</v>
      </c>
      <c r="F6" s="69"/>
      <c r="G6" s="70"/>
      <c r="H6" s="207">
        <v>41808.875</v>
      </c>
      <c r="I6" s="1">
        <f>IF(F5="",0,IF(F5=G5,J$2,IF(F5&gt;G5,I$2,0)))</f>
        <v>0</v>
      </c>
      <c r="J6" s="1">
        <f>IF(G5="",0,IF(F5=G5,J$2,IF(F5&lt;G5,I$2,0)))</f>
        <v>0</v>
      </c>
      <c r="K6" s="1">
        <v>2</v>
      </c>
      <c r="L6" s="1">
        <f>IF(OR(Q$5+Q$6+Q$7=3*Q$5,Q$8+Q$6+Q$7=3*Q$8,AE6+AK6+AQ6=0),K6,AE6+AK6+AQ6)</f>
        <v>2</v>
      </c>
      <c r="M6" s="22">
        <f>INT(VLOOKUP($K6,$A$33:$G$37,2,0))</f>
        <v>10110</v>
      </c>
      <c r="N6" s="23" t="str">
        <f>IF(M6=M5,"",K6)</f>
        <v/>
      </c>
      <c r="O6" s="24" t="str">
        <f>VLOOKUP($K6,$A$33:$G$37,3,0)</f>
        <v>Kroatien</v>
      </c>
      <c r="P6" s="22">
        <f>VLOOKUP($K6,$A$33:$K$37,11,0)</f>
        <v>0</v>
      </c>
      <c r="Q6" s="25">
        <f>VLOOKUP($K6,$A$33:$G$37,4,0)</f>
        <v>0</v>
      </c>
      <c r="R6" s="18">
        <f>VLOOKUP($K6,$A$33:$G$37,5,0)</f>
        <v>0</v>
      </c>
      <c r="S6" s="18">
        <f>VLOOKUP($K6,$A$33:$G$37,6,0)</f>
        <v>0</v>
      </c>
      <c r="T6" s="19">
        <f>VLOOKUP($K6,$A$33:$G$37,7,0)</f>
        <v>0</v>
      </c>
      <c r="U6" s="14">
        <f>VLOOKUP($K6,$A$33:$M$37,12,0)</f>
        <v>0</v>
      </c>
      <c r="V6" s="1">
        <f>VLOOKUP($K6,$A$33:$M$37,13,0)</f>
        <v>0</v>
      </c>
      <c r="W6" s="20">
        <f>P6-U6-V6</f>
        <v>0</v>
      </c>
      <c r="X6" s="25" t="str">
        <f>VLOOKUP($K6,$A$33:$G$37,4,0)&amp;" "&amp;VLOOKUP($K6,$A$33:$P$37,15,0)</f>
        <v xml:space="preserve">0 </v>
      </c>
      <c r="Y6" s="1">
        <f>INT(VLOOKUP($K6,$A$33:$H$37,8,0))</f>
        <v>10000</v>
      </c>
      <c r="Z6" s="1">
        <f>IF(AND(Y$5=Y$6,OR(AND(D4=O$5,E4=O$6),AND(D4=O$6,E4=O$5))),2,0)</f>
        <v>0</v>
      </c>
      <c r="AA6" s="1" t="e">
        <f t="shared" si="0"/>
        <v>#N/A</v>
      </c>
      <c r="AB6" s="1" t="e">
        <f t="shared" si="1"/>
        <v>#N/A</v>
      </c>
      <c r="AC6" s="1" t="e">
        <f t="shared" si="2"/>
        <v>#N/A</v>
      </c>
      <c r="AD6" s="1" t="e">
        <f t="shared" si="3"/>
        <v>#N/A</v>
      </c>
      <c r="AE6" s="1">
        <f>IF(AE5=2,1,IF(AE5=1,2,0))</f>
        <v>0</v>
      </c>
      <c r="AF6" s="1">
        <f>IF(AND(Y$6=Y$7,OR(AND(D4=O$6,E4=O$7),AND(D4=O$7,E4=O$6))),2,0)</f>
        <v>0</v>
      </c>
      <c r="AG6" s="1" t="e">
        <f t="shared" si="4"/>
        <v>#N/A</v>
      </c>
      <c r="AH6" s="1" t="e">
        <f t="shared" si="5"/>
        <v>#N/A</v>
      </c>
      <c r="AI6" s="1" t="e">
        <f t="shared" si="6"/>
        <v>#N/A</v>
      </c>
      <c r="AJ6" s="1" t="e">
        <f t="shared" si="7"/>
        <v>#N/A</v>
      </c>
      <c r="AK6" s="1">
        <f>IF(ISERROR(AI12),0,IF(AI12=0,0,IF(OR(AND(AG12=O6,AI12&gt;0),AND(AH12=O6,AI12&lt;0)),2,3)))</f>
        <v>0</v>
      </c>
      <c r="AL6" s="1">
        <f>IF(AND($Y$7=$Y$8,OR(AND($D4=$O$7,$E4=$O$8),AND($D4=$O$8,$E4=$O$7))),2,0)</f>
        <v>2</v>
      </c>
      <c r="AM6" s="1" t="str">
        <f t="shared" si="8"/>
        <v>Mexico</v>
      </c>
      <c r="AN6" s="1" t="str">
        <f t="shared" si="9"/>
        <v>Kamerun</v>
      </c>
      <c r="AO6" s="1">
        <f t="shared" si="10"/>
        <v>0</v>
      </c>
      <c r="AP6" s="1">
        <f t="shared" si="11"/>
        <v>0</v>
      </c>
      <c r="AQ6"/>
      <c r="AR6"/>
      <c r="AS6" s="23" t="str">
        <f>IF(AND(OR(AR$12=1,AE6+AK6+AQ6=0),M6=M5),"",2)</f>
        <v/>
      </c>
      <c r="AT6" s="24" t="str">
        <f>VLOOKUP($K6,$L$5:$W$8,4,0)</f>
        <v>Kroatien</v>
      </c>
      <c r="AU6" s="22">
        <f>VLOOKUP($K6,$L$5:$W$8,5,0)</f>
        <v>0</v>
      </c>
      <c r="AV6" s="25" t="str">
        <f>VLOOKUP($K6,$L$5:$X$8,13,0)</f>
        <v xml:space="preserve">0 </v>
      </c>
      <c r="AW6" s="18">
        <f>VLOOKUP($K6,$L$5:$W$8,7,0)</f>
        <v>0</v>
      </c>
      <c r="AX6" s="18">
        <f>VLOOKUP($K6,$L$5:$W$8,8,0)</f>
        <v>0</v>
      </c>
      <c r="AY6" s="19">
        <f>VLOOKUP($K6,$L$5:$W$8,9,0)</f>
        <v>0</v>
      </c>
      <c r="AZ6" s="51">
        <f>VLOOKUP($K6,$L$5:$W$8,10,0)</f>
        <v>0</v>
      </c>
      <c r="BA6" s="22">
        <f>VLOOKUP($K6,$L$5:$W$8,11,0)</f>
        <v>0</v>
      </c>
      <c r="BB6" s="66">
        <f>VLOOKUP($K6,$L$5:$W$8,12,0)</f>
        <v>0</v>
      </c>
    </row>
    <row r="7" spans="1:56" ht="15">
      <c r="A7" s="71"/>
      <c r="B7" s="72" t="s">
        <v>38</v>
      </c>
      <c r="C7" s="1">
        <v>5</v>
      </c>
      <c r="D7" s="46" t="str">
        <f>B5</f>
        <v>Brasilien</v>
      </c>
      <c r="E7" s="46" t="str">
        <f>B8</f>
        <v>Kamerun</v>
      </c>
      <c r="F7" s="69"/>
      <c r="G7" s="70"/>
      <c r="H7" s="207">
        <v>41813.916666666664</v>
      </c>
      <c r="I7" s="1">
        <f>IF(F15="",0,IF(F15=G15,J$2,IF(F15&gt;G15,I$2,0)))</f>
        <v>0</v>
      </c>
      <c r="J7" s="1">
        <f>IF(G15="",0,IF(F15=G15,J$2,IF(F15&lt;G15,I$2,0)))</f>
        <v>0</v>
      </c>
      <c r="K7" s="1">
        <v>3</v>
      </c>
      <c r="L7" s="1">
        <f>IF(OR(Q$5+Q$6+Q$7=3*Q$5,Q$8+Q$6+Q$7=3*Q$8,AE7+AK7+AQ7=0),K7,AE7+AK7+AQ7)</f>
        <v>3</v>
      </c>
      <c r="M7" s="22">
        <f>INT(VLOOKUP($K7,$A$33:$G$37,2,0))</f>
        <v>10110</v>
      </c>
      <c r="N7" s="23" t="str">
        <f>IF(M7=M6,"",K7)</f>
        <v/>
      </c>
      <c r="O7" s="24" t="str">
        <f>VLOOKUP($K7,$A$33:$G$37,3,0)</f>
        <v>Mexico</v>
      </c>
      <c r="P7" s="22">
        <f>VLOOKUP($K7,$A$33:$K$37,11,0)</f>
        <v>0</v>
      </c>
      <c r="Q7" s="25">
        <f>VLOOKUP($K7,$A$33:$G$37,4,0)</f>
        <v>0</v>
      </c>
      <c r="R7" s="18">
        <f>VLOOKUP($K7,$A$33:$G$37,5,0)</f>
        <v>0</v>
      </c>
      <c r="S7" s="18">
        <f>VLOOKUP($K7,$A$33:$G$37,6,0)</f>
        <v>0</v>
      </c>
      <c r="T7" s="19">
        <f>VLOOKUP($K7,$A$33:$G$37,7,0)</f>
        <v>0</v>
      </c>
      <c r="U7" s="14">
        <f>VLOOKUP($K7,$A$33:$M$37,12,0)</f>
        <v>0</v>
      </c>
      <c r="V7" s="1">
        <f>VLOOKUP($K7,$A$33:$M$37,13,0)</f>
        <v>0</v>
      </c>
      <c r="W7" s="20">
        <f>P7-U7-V7</f>
        <v>0</v>
      </c>
      <c r="X7" s="25" t="str">
        <f>VLOOKUP($K7,$A$33:$G$37,4,0)&amp;" "&amp;VLOOKUP($K7,$A$33:$P$37,15,0)</f>
        <v xml:space="preserve">0 </v>
      </c>
      <c r="Y7" s="1">
        <f>INT(VLOOKUP($K7,$A$33:$H$37,8,0))</f>
        <v>10000</v>
      </c>
      <c r="Z7" s="1">
        <f>IF(AND(Y$5=Y$6,OR(AND(D5=O$5,E5=O$6),AND(D5=O$6,E5=O$5))),3,0)</f>
        <v>0</v>
      </c>
      <c r="AA7" s="1" t="e">
        <f t="shared" si="0"/>
        <v>#N/A</v>
      </c>
      <c r="AB7" s="1" t="e">
        <f t="shared" si="1"/>
        <v>#N/A</v>
      </c>
      <c r="AC7" s="1" t="e">
        <f t="shared" si="2"/>
        <v>#N/A</v>
      </c>
      <c r="AD7" s="1" t="e">
        <f t="shared" si="3"/>
        <v>#N/A</v>
      </c>
      <c r="AF7" s="1">
        <f>IF(AND(Y$6=Y$7,OR(AND(D5=O$6,E5=O$7),AND(D5=O$7,E5=O$6))),3,0)</f>
        <v>0</v>
      </c>
      <c r="AG7" s="1" t="e">
        <f t="shared" si="4"/>
        <v>#N/A</v>
      </c>
      <c r="AH7" s="1" t="e">
        <f t="shared" si="5"/>
        <v>#N/A</v>
      </c>
      <c r="AI7" s="1" t="e">
        <f t="shared" si="6"/>
        <v>#N/A</v>
      </c>
      <c r="AJ7" s="1" t="e">
        <f t="shared" si="7"/>
        <v>#N/A</v>
      </c>
      <c r="AK7" s="1">
        <f>IF(AK6=3,2,IF(AK6=2,3,0))</f>
        <v>0</v>
      </c>
      <c r="AL7" s="1">
        <f>IF(AND($Y$7=$Y$8,OR(AND($D5=$O$7,$E5=$O$8),AND($D5=$O$8,$E5=$O$7))),3,0)</f>
        <v>0</v>
      </c>
      <c r="AM7" s="1" t="e">
        <f t="shared" si="8"/>
        <v>#N/A</v>
      </c>
      <c r="AN7" s="1" t="e">
        <f t="shared" si="9"/>
        <v>#N/A</v>
      </c>
      <c r="AO7" s="1" t="e">
        <f t="shared" si="10"/>
        <v>#N/A</v>
      </c>
      <c r="AP7" s="1" t="e">
        <f t="shared" si="11"/>
        <v>#N/A</v>
      </c>
      <c r="AQ7" s="1">
        <f>IF(ISERROR(AO12),0,IF(AO12=0,0,IF(OR(AND(AM12=O7,AO12&gt;0),AND(AN12=O7,AO12&lt;0)),3,4)))</f>
        <v>0</v>
      </c>
      <c r="AS7" s="23" t="str">
        <f>IF(AND(OR(AR$12=1,AE7+AK7+AQ7=0),M7=M6),"",3)</f>
        <v/>
      </c>
      <c r="AT7" s="24" t="str">
        <f>VLOOKUP($K7,$L$5:$W$8,4,0)</f>
        <v>Mexico</v>
      </c>
      <c r="AU7" s="22">
        <f>VLOOKUP($K7,$L$5:$W$8,5,0)</f>
        <v>0</v>
      </c>
      <c r="AV7" s="25" t="str">
        <f>VLOOKUP($K7,$L$5:$X$8,13,0)</f>
        <v xml:space="preserve">0 </v>
      </c>
      <c r="AW7" s="18">
        <f>VLOOKUP($K7,$L$5:$W$8,7,0)</f>
        <v>0</v>
      </c>
      <c r="AX7" s="18">
        <f>VLOOKUP($K7,$L$5:$W$8,8,0)</f>
        <v>0</v>
      </c>
      <c r="AY7" s="19">
        <f>VLOOKUP($K7,$L$5:$W$8,9,0)</f>
        <v>0</v>
      </c>
      <c r="AZ7" s="51">
        <f>VLOOKUP($K7,$L$5:$W$8,10,0)</f>
        <v>0</v>
      </c>
      <c r="BA7" s="22">
        <f>VLOOKUP($K7,$L$5:$W$8,11,0)</f>
        <v>0</v>
      </c>
      <c r="BB7" s="66">
        <f>VLOOKUP($K7,$L$5:$W$8,12,0)</f>
        <v>0</v>
      </c>
    </row>
    <row r="8" spans="1:56" ht="15.75" thickBot="1">
      <c r="A8" s="71"/>
      <c r="B8" s="72" t="s">
        <v>62</v>
      </c>
      <c r="C8" s="1">
        <v>6</v>
      </c>
      <c r="D8" s="46" t="str">
        <f>B6</f>
        <v>Kroatien</v>
      </c>
      <c r="E8" s="46" t="str">
        <f>B7</f>
        <v>Mexico</v>
      </c>
      <c r="F8" s="69"/>
      <c r="G8" s="70"/>
      <c r="H8" s="207">
        <v>41813.916666666664</v>
      </c>
      <c r="I8" s="1">
        <f>IF(F6="",0,IF(F6=G6,J$2,IF(F6&gt;G6,I$2,0)))</f>
        <v>0</v>
      </c>
      <c r="J8" s="1">
        <f>IF(G6="",0,IF(F6=G6,J$2,IF(F6&lt;G6,I$2,0)))</f>
        <v>0</v>
      </c>
      <c r="K8" s="1">
        <v>4</v>
      </c>
      <c r="L8" s="1">
        <f>IF(OR(Q$5+Q$6+Q$7=3*Q$5,Q$8+Q$6+Q$7=3*Q$8,AE8+AK8+AQ8=0),K8,AE8+AK8+AQ8)</f>
        <v>4</v>
      </c>
      <c r="M8" s="22">
        <f>INT(VLOOKUP($K8,$A$33:$G$37,2,0))</f>
        <v>10110</v>
      </c>
      <c r="N8" s="26" t="str">
        <f>IF(M8=M7,"",K8)</f>
        <v/>
      </c>
      <c r="O8" s="27" t="str">
        <f>VLOOKUP($K8,$A$33:$G$37,3,0)</f>
        <v>Kamerun</v>
      </c>
      <c r="P8" s="28">
        <f>VLOOKUP($K8,$A$33:$K$37,11,0)</f>
        <v>0</v>
      </c>
      <c r="Q8" s="25">
        <f>VLOOKUP($K8,$A$33:$G$37,4,0)</f>
        <v>0</v>
      </c>
      <c r="R8" s="30">
        <f>VLOOKUP($K8,$A$33:$G$37,5,0)</f>
        <v>0</v>
      </c>
      <c r="S8" s="30">
        <f>VLOOKUP($K8,$A$33:$G$37,6,0)</f>
        <v>0</v>
      </c>
      <c r="T8" s="31">
        <f>VLOOKUP($K8,$A$33:$G$37,7,0)</f>
        <v>0</v>
      </c>
      <c r="U8" s="32">
        <f>VLOOKUP($K8,$A$33:$M$37,12,0)</f>
        <v>0</v>
      </c>
      <c r="V8" s="33">
        <f>VLOOKUP($K8,$A$33:$M$37,13,0)</f>
        <v>0</v>
      </c>
      <c r="W8" s="34">
        <f>P8-U8-V8</f>
        <v>0</v>
      </c>
      <c r="X8" s="25" t="str">
        <f>VLOOKUP($K8,$A$33:$G$37,4,0)&amp;" "&amp;VLOOKUP($K8,$A$33:$P$37,15,0)</f>
        <v xml:space="preserve">0 </v>
      </c>
      <c r="Y8" s="1">
        <f>INT(VLOOKUP($K8,$A$33:$H$37,8,0))</f>
        <v>10000</v>
      </c>
      <c r="Z8" s="1">
        <f>IF(AND(Y$5=Y$6,OR(AND(D6=O$5,E6=O$6),AND(D6=O$6,E6=O$5))),4,0)</f>
        <v>0</v>
      </c>
      <c r="AA8" s="1" t="e">
        <f t="shared" si="0"/>
        <v>#N/A</v>
      </c>
      <c r="AB8" s="1" t="e">
        <f t="shared" si="1"/>
        <v>#N/A</v>
      </c>
      <c r="AC8" s="1" t="e">
        <f t="shared" si="2"/>
        <v>#N/A</v>
      </c>
      <c r="AD8" s="1" t="e">
        <f t="shared" si="3"/>
        <v>#N/A</v>
      </c>
      <c r="AF8" s="1">
        <f>IF(AND(Y$6=Y$7,OR(AND(D6=O$6,E6=O$7),AND(D6=O$7,E6=O$6))),4,0)</f>
        <v>0</v>
      </c>
      <c r="AG8" s="1" t="e">
        <f t="shared" si="4"/>
        <v>#N/A</v>
      </c>
      <c r="AH8" s="1" t="e">
        <f t="shared" si="5"/>
        <v>#N/A</v>
      </c>
      <c r="AI8" s="1" t="e">
        <f t="shared" si="6"/>
        <v>#N/A</v>
      </c>
      <c r="AJ8" s="1" t="e">
        <f t="shared" si="7"/>
        <v>#N/A</v>
      </c>
      <c r="AL8" s="1">
        <f>IF(AND($Y$7=$Y$8,OR(AND($D6=$O$7,$E6=$O$8),AND($D6=$O$8,$E6=$O$7))),4,0)</f>
        <v>0</v>
      </c>
      <c r="AM8" s="1" t="e">
        <f t="shared" si="8"/>
        <v>#N/A</v>
      </c>
      <c r="AN8" s="1" t="e">
        <f t="shared" si="9"/>
        <v>#N/A</v>
      </c>
      <c r="AO8" s="1" t="e">
        <f t="shared" si="10"/>
        <v>#N/A</v>
      </c>
      <c r="AP8" s="1" t="e">
        <f t="shared" si="11"/>
        <v>#N/A</v>
      </c>
      <c r="AQ8" s="1">
        <f>IF(AQ7=4,3,IF(AQ7=3,4,0))</f>
        <v>0</v>
      </c>
      <c r="AS8" s="26" t="str">
        <f>IF(AND(OR(AR$12=1,AE8+AK8+AQ8=0),M8=M7),"",4)</f>
        <v/>
      </c>
      <c r="AT8" s="27" t="str">
        <f>VLOOKUP($K8,$L$5:$W$8,4,0)</f>
        <v>Kamerun</v>
      </c>
      <c r="AU8" s="35">
        <f>VLOOKUP($K8,$L$5:$W$8,5,0)</f>
        <v>0</v>
      </c>
      <c r="AV8" s="29" t="str">
        <f>VLOOKUP($K8,$L$5:$X$8,13,0)</f>
        <v xml:space="preserve">0 </v>
      </c>
      <c r="AW8" s="30">
        <f>VLOOKUP($K8,$L$5:$W$8,7,0)</f>
        <v>0</v>
      </c>
      <c r="AX8" s="30">
        <f>VLOOKUP($K8,$L$5:$W$8,8,0)</f>
        <v>0</v>
      </c>
      <c r="AY8" s="31">
        <f>VLOOKUP($K8,$L$5:$W$8,9,0)</f>
        <v>0</v>
      </c>
      <c r="AZ8" s="67">
        <f>VLOOKUP($K8,$L$5:$W$8,10,0)</f>
        <v>0</v>
      </c>
      <c r="BA8" s="35">
        <f>VLOOKUP($K8,$L$5:$W$8,11,0)</f>
        <v>0</v>
      </c>
      <c r="BB8" s="68">
        <f>VLOOKUP($K8,$L$5:$W$8,12,0)</f>
        <v>0</v>
      </c>
    </row>
    <row r="9" spans="1:56" ht="15" hidden="1" outlineLevel="1">
      <c r="B9" s="48"/>
      <c r="D9" s="14"/>
      <c r="E9" s="14"/>
      <c r="F9" s="14"/>
      <c r="G9" s="14"/>
      <c r="I9" s="1">
        <f>IF(F7="",0,IF(F7=G7,J$2,IF(F7&gt;G7,I$2,0)))</f>
        <v>0</v>
      </c>
      <c r="J9" s="1">
        <f>IF(G7="",0,IF(F7=G7,J$2,IF(F7&lt;G7,I$2,0)))</f>
        <v>0</v>
      </c>
      <c r="K9" s="1">
        <v>5</v>
      </c>
      <c r="M9" s="22">
        <f>INT(VLOOKUP($K9,$A$33:$G$37,2,0))</f>
        <v>10510</v>
      </c>
      <c r="N9" s="14"/>
      <c r="O9" s="14"/>
      <c r="P9" s="14"/>
      <c r="Q9" s="14"/>
      <c r="R9" s="14"/>
      <c r="S9" s="14"/>
      <c r="T9" s="14"/>
      <c r="U9" s="14"/>
      <c r="V9" s="14"/>
      <c r="W9" s="14"/>
      <c r="Z9" s="1">
        <f>IF(AND(Y$5=Y$6,OR(AND(D7=O$5,E7=O$6),AND(D7=O$6,E7=O$5))),5,0)</f>
        <v>0</v>
      </c>
      <c r="AA9" s="1" t="e">
        <f t="shared" si="0"/>
        <v>#N/A</v>
      </c>
      <c r="AB9" s="1" t="e">
        <f t="shared" si="1"/>
        <v>#N/A</v>
      </c>
      <c r="AC9" s="1" t="e">
        <f t="shared" si="2"/>
        <v>#N/A</v>
      </c>
      <c r="AD9" s="1" t="e">
        <f t="shared" si="3"/>
        <v>#N/A</v>
      </c>
      <c r="AF9" s="1">
        <f>IF(AND(Y$6=Y$7,OR(AND(D7=O$6,E7=O$7),AND(D7=O$7,E7=O$6))),5,0)</f>
        <v>0</v>
      </c>
      <c r="AG9" s="1" t="e">
        <f t="shared" si="4"/>
        <v>#N/A</v>
      </c>
      <c r="AH9" s="1" t="e">
        <f t="shared" si="5"/>
        <v>#N/A</v>
      </c>
      <c r="AI9" s="1" t="e">
        <f t="shared" si="6"/>
        <v>#N/A</v>
      </c>
      <c r="AJ9" s="1" t="e">
        <f t="shared" si="7"/>
        <v>#N/A</v>
      </c>
      <c r="AL9" s="1">
        <f>IF(AND($Y$7=$Y$8,OR(AND($D7=$O$7,$E7=$O$8),AND($D7=$O$8,$E7=$O$7))),5,0)</f>
        <v>0</v>
      </c>
      <c r="AM9" s="1" t="e">
        <f t="shared" si="8"/>
        <v>#N/A</v>
      </c>
      <c r="AN9" s="1" t="e">
        <f t="shared" si="9"/>
        <v>#N/A</v>
      </c>
      <c r="AO9" s="1" t="e">
        <f t="shared" si="10"/>
        <v>#N/A</v>
      </c>
      <c r="AP9" s="1" t="e">
        <f t="shared" si="11"/>
        <v>#N/A</v>
      </c>
      <c r="AT9" s="24"/>
      <c r="AU9" s="22"/>
      <c r="AV9" s="25"/>
      <c r="AW9" s="18"/>
    </row>
    <row r="10" spans="1:56" hidden="1" outlineLevel="1">
      <c r="B10" s="48"/>
      <c r="D10" s="14"/>
      <c r="E10" s="14"/>
      <c r="F10" s="14"/>
      <c r="G10" s="14"/>
      <c r="I10" s="1">
        <f>IF(F16="",0,IF(F16=G16,J$2,IF(F16&gt;G16,I$2,0)))</f>
        <v>0</v>
      </c>
      <c r="J10" s="1">
        <f>IF(G16="",0,IF(F16=G16,J$2,IF(F16&lt;G16,I$2,0)))</f>
        <v>0</v>
      </c>
      <c r="P10" s="1">
        <f>SUM(P5:P9)</f>
        <v>0</v>
      </c>
      <c r="Z10" s="1">
        <f>IF(AND(Y$5=Y$6,OR(AND(D8=O$5,E8=O$6),AND(D8=O$6,E8=O$5))),6,0)</f>
        <v>0</v>
      </c>
      <c r="AA10" s="1" t="e">
        <f t="shared" si="0"/>
        <v>#N/A</v>
      </c>
      <c r="AB10" s="1" t="e">
        <f t="shared" si="1"/>
        <v>#N/A</v>
      </c>
      <c r="AC10" s="1" t="e">
        <f t="shared" si="2"/>
        <v>#N/A</v>
      </c>
      <c r="AD10" s="1" t="e">
        <f t="shared" si="3"/>
        <v>#N/A</v>
      </c>
      <c r="AF10" s="1">
        <f>IF(AND(Y$6=Y$7,OR(AND(D8=O$6,E8=O$7),AND(D8=O$7,E8=O$6))),6,0)</f>
        <v>6</v>
      </c>
      <c r="AG10" s="1" t="str">
        <f t="shared" si="4"/>
        <v>Kroatien</v>
      </c>
      <c r="AH10" s="1" t="str">
        <f t="shared" si="5"/>
        <v>Mexico</v>
      </c>
      <c r="AI10" s="1">
        <f t="shared" si="6"/>
        <v>0</v>
      </c>
      <c r="AJ10" s="1">
        <f t="shared" si="7"/>
        <v>0</v>
      </c>
      <c r="AL10" s="1">
        <f>IF(AND($Y$7=$Y$8,OR(AND($D8=$O$7,$E8=$O$8),AND($D8=$O$8,$E8=$O$7))),6,0)</f>
        <v>0</v>
      </c>
      <c r="AM10" s="1" t="e">
        <f t="shared" si="8"/>
        <v>#N/A</v>
      </c>
      <c r="AN10" s="1" t="e">
        <f t="shared" si="9"/>
        <v>#N/A</v>
      </c>
      <c r="AO10" s="1" t="e">
        <f t="shared" si="10"/>
        <v>#N/A</v>
      </c>
      <c r="AP10" s="1" t="e">
        <f t="shared" si="11"/>
        <v>#N/A</v>
      </c>
      <c r="AR10" s="1">
        <f>IF(ISERROR(AC12),0,1)+IF(ISERROR(AI12),0,1)</f>
        <v>2</v>
      </c>
      <c r="BC10" s="129" t="s">
        <v>55</v>
      </c>
      <c r="BD10" s="1">
        <f>SUMPRODUCT(ISNUMBER(F3:G8)*'WM 2010'!F3:G8)</f>
        <v>0</v>
      </c>
    </row>
    <row r="11" spans="1:56" hidden="1" outlineLevel="1">
      <c r="B11" s="48"/>
      <c r="D11" s="14"/>
      <c r="E11" s="14"/>
      <c r="F11" s="14"/>
      <c r="G11" s="14"/>
      <c r="I11" s="1">
        <f>IF(F8="",0,IF(F8=G8,J$2,IF(F8&gt;G8,I$2,0)))</f>
        <v>0</v>
      </c>
      <c r="J11" s="1">
        <f>IF(G8="",0,IF(F8=G8,J$2,IF(F8&lt;G8,I$2,0)))</f>
        <v>0</v>
      </c>
      <c r="AB11"/>
      <c r="AR11" s="1">
        <f>IF(ISERROR(AO12),0,1)+IF(ISERROR(AI12),0,1)</f>
        <v>2</v>
      </c>
      <c r="BC11" s="129" t="s">
        <v>56</v>
      </c>
      <c r="BD11" s="1">
        <f>SUMPRODUCT(ISNUMBER(F42:G47)*'WM 2010'!F11:G16)</f>
        <v>0</v>
      </c>
    </row>
    <row r="12" spans="1:56" hidden="1" outlineLevel="1">
      <c r="B12" s="48"/>
      <c r="D12" s="14"/>
      <c r="E12" s="14"/>
      <c r="F12" s="14"/>
      <c r="G12" s="14"/>
      <c r="I12" s="1">
        <f>IF(F17="",0,IF(F17=G17,J$2,IF(F17&gt;G17,I$2,0)))</f>
        <v>0</v>
      </c>
      <c r="J12" s="1">
        <f>IF(G17="",0,IF(F17=G17,J$2,IF(F17&lt;G17,I$2,0)))</f>
        <v>0</v>
      </c>
      <c r="Z12" s="1">
        <f>MAX(Z5:Z10)</f>
        <v>1</v>
      </c>
      <c r="AA12" s="1" t="str">
        <f>VLOOKUP(Z12,Z5:AD10,2,0)</f>
        <v>Brasilien</v>
      </c>
      <c r="AB12" s="1" t="str">
        <f>VLOOKUP(Z12,Z5:AD10,3,0)</f>
        <v>Kroatien</v>
      </c>
      <c r="AC12" s="1">
        <f>VLOOKUP(Z12,Z5:AD10,4,0)-VLOOKUP(Z12,Z5:AD10,5,0)</f>
        <v>0</v>
      </c>
      <c r="AF12" s="1">
        <f>MAX(AF5:AF10)</f>
        <v>6</v>
      </c>
      <c r="AG12" s="1" t="str">
        <f>VLOOKUP(AF12,AF5:AJ10,2,0)</f>
        <v>Kroatien</v>
      </c>
      <c r="AH12" s="1" t="str">
        <f>VLOOKUP(AF12,AF5:AJ10,3,0)</f>
        <v>Mexico</v>
      </c>
      <c r="AI12" s="1">
        <f>VLOOKUP(AF12,AF5:AJ10,4,0)-VLOOKUP(AF12,AF5:AJ10,5,0)</f>
        <v>0</v>
      </c>
      <c r="AL12" s="1">
        <f>MAX(AL5:AL10)</f>
        <v>2</v>
      </c>
      <c r="AM12" s="1" t="str">
        <f>VLOOKUP(AL12,AL5:AP10,2,0)</f>
        <v>Mexico</v>
      </c>
      <c r="AN12" s="1" t="str">
        <f>VLOOKUP(AL12,AL5:AP10,3,0)</f>
        <v>Kamerun</v>
      </c>
      <c r="AO12" s="1">
        <f>VLOOKUP(AL12,AL5:AP10,4,0)-VLOOKUP(AL12,AL5:AP10,5,0)</f>
        <v>0</v>
      </c>
      <c r="AR12" s="1">
        <f>IF(OR(AR10=2,AR11=2),1,0)</f>
        <v>1</v>
      </c>
      <c r="BC12" s="129" t="s">
        <v>57</v>
      </c>
      <c r="BD12" s="1">
        <f>SUMPRODUCT(ISNUMBER(F81:G86)*'WM 2010'!F19:G24)</f>
        <v>0</v>
      </c>
    </row>
    <row r="13" spans="1:56" hidden="1" outlineLevel="1">
      <c r="B13" s="48"/>
      <c r="BC13" s="129" t="s">
        <v>58</v>
      </c>
      <c r="BD13" s="1">
        <f>SUMPRODUCT(ISNUMBER(F120:G125)*'WM 2010'!F27:G32)</f>
        <v>0</v>
      </c>
    </row>
    <row r="14" spans="1:56" ht="15.75" hidden="1" outlineLevel="1" thickBot="1">
      <c r="B14" s="49" t="s">
        <v>12</v>
      </c>
      <c r="D14" s="3" t="str">
        <f>B$14</f>
        <v>#######</v>
      </c>
      <c r="E14" s="3" t="str">
        <f>B5</f>
        <v>Brasilien</v>
      </c>
      <c r="F14" s="5"/>
      <c r="G14" s="6"/>
      <c r="N14" s="26">
        <f>IF(M9=M8,"",K9)</f>
        <v>5</v>
      </c>
      <c r="O14" s="27" t="str">
        <f>VLOOKUP($K9,$A$33:$G$37,3,0)</f>
        <v>#######</v>
      </c>
      <c r="P14" s="28">
        <f>VLOOKUP($K9,$A$33:$K$37,11,0)</f>
        <v>0</v>
      </c>
      <c r="Q14" s="29">
        <f>VLOOKUP($K9,$A$33:$G$37,4,0)</f>
        <v>0</v>
      </c>
      <c r="R14" s="30">
        <f>VLOOKUP($K9,$A$33:$G$37,5,0)</f>
        <v>-100</v>
      </c>
      <c r="S14" s="30">
        <f>VLOOKUP($K9,$A$33:$G$37,6,0)</f>
        <v>0</v>
      </c>
      <c r="T14" s="31">
        <f>VLOOKUP($K9,$A$33:$G$37,7,0)</f>
        <v>-100</v>
      </c>
      <c r="U14" s="32">
        <f>VLOOKUP($K9,$A$33:$M$37,12,0)</f>
        <v>0</v>
      </c>
      <c r="V14" s="33">
        <f>VLOOKUP($K9,$A$33:$M$37,13,0)</f>
        <v>0</v>
      </c>
      <c r="W14" s="34">
        <f>P14-U14-V14</f>
        <v>0</v>
      </c>
      <c r="BC14" s="129" t="s">
        <v>136</v>
      </c>
      <c r="BD14" s="1">
        <f>SUMPRODUCT(ISNUMBER(F158:G163)*'WM 2010'!F35:G40)</f>
        <v>0</v>
      </c>
    </row>
    <row r="15" spans="1:56" hidden="1" outlineLevel="1">
      <c r="B15" s="48"/>
      <c r="D15" s="3" t="str">
        <f>B$8</f>
        <v>Kamerun</v>
      </c>
      <c r="E15" s="3" t="str">
        <f>B14</f>
        <v>#######</v>
      </c>
      <c r="F15" s="5"/>
      <c r="G15" s="6"/>
      <c r="AA15" s="5"/>
      <c r="AB15" s="6"/>
      <c r="BC15" s="129" t="s">
        <v>137</v>
      </c>
      <c r="BD15" s="1">
        <f>SUMPRODUCT(ISNUMBER(F197:G202)*'WM 2010'!F43:G48)</f>
        <v>0</v>
      </c>
    </row>
    <row r="16" spans="1:56" hidden="1" outlineLevel="1">
      <c r="B16" s="48"/>
      <c r="D16" s="3" t="str">
        <f>B14</f>
        <v>#######</v>
      </c>
      <c r="E16" s="3" t="str">
        <f>B6</f>
        <v>Kroatien</v>
      </c>
      <c r="F16" s="5"/>
      <c r="G16" s="6"/>
      <c r="AA16" s="5"/>
      <c r="AB16" s="6"/>
      <c r="BC16" s="129" t="s">
        <v>138</v>
      </c>
      <c r="BD16" s="1">
        <f>SUMPRODUCT(ISNUMBER(F236:G241)*'WM 2010'!F51:G56)</f>
        <v>0</v>
      </c>
    </row>
    <row r="17" spans="2:56" hidden="1" outlineLevel="1">
      <c r="B17" s="48"/>
      <c r="D17" s="3" t="str">
        <f>B7</f>
        <v>Mexico</v>
      </c>
      <c r="E17" s="3" t="str">
        <f>B14</f>
        <v>#######</v>
      </c>
      <c r="F17" s="5"/>
      <c r="G17" s="6"/>
      <c r="AA17" s="5"/>
      <c r="AB17" s="6"/>
      <c r="BC17" s="129" t="s">
        <v>139</v>
      </c>
      <c r="BD17" s="1">
        <f>SUMPRODUCT(ISNUMBER(F275:G280)*'WM 2010'!F59:G64)</f>
        <v>0</v>
      </c>
    </row>
    <row r="18" spans="2:56" hidden="1" outlineLevel="1">
      <c r="B18" s="48"/>
      <c r="AA18" s="5"/>
      <c r="AB18" s="6"/>
      <c r="BC18" s="129" t="s">
        <v>210</v>
      </c>
      <c r="BD18" s="1">
        <f>ROUND(SUMPRODUCT(ISNUMBER(F315:G338)*'WM 2010'!F69:G92),0)</f>
        <v>0</v>
      </c>
    </row>
    <row r="19" spans="2:56" hidden="1" outlineLevel="1">
      <c r="B19" s="48"/>
      <c r="D19" s="3" t="str">
        <f>B5</f>
        <v>Brasilien</v>
      </c>
      <c r="G19" s="1" t="str">
        <f>B6</f>
        <v>Kroatien</v>
      </c>
      <c r="J19" s="1" t="str">
        <f>B7</f>
        <v>Mexico</v>
      </c>
      <c r="M19" s="1" t="str">
        <f>B8</f>
        <v>Kamerun</v>
      </c>
      <c r="P19" s="1" t="str">
        <f>B14</f>
        <v>#######</v>
      </c>
      <c r="AA19" s="5"/>
      <c r="AB19" s="6"/>
    </row>
    <row r="20" spans="2:56" hidden="1" outlineLevel="1">
      <c r="B20" s="48"/>
      <c r="D20" s="3" t="s">
        <v>13</v>
      </c>
      <c r="E20" s="36" t="s">
        <v>4</v>
      </c>
      <c r="F20" s="21" t="s">
        <v>14</v>
      </c>
      <c r="G20" s="22" t="s">
        <v>13</v>
      </c>
      <c r="H20" s="60" t="s">
        <v>4</v>
      </c>
      <c r="I20" s="21" t="s">
        <v>14</v>
      </c>
      <c r="J20" s="22" t="s">
        <v>13</v>
      </c>
      <c r="K20" s="37" t="s">
        <v>4</v>
      </c>
      <c r="L20" s="21" t="s">
        <v>14</v>
      </c>
      <c r="M20" s="22" t="s">
        <v>13</v>
      </c>
      <c r="N20" s="37" t="s">
        <v>4</v>
      </c>
      <c r="O20" s="21" t="s">
        <v>14</v>
      </c>
      <c r="P20" s="22" t="s">
        <v>13</v>
      </c>
      <c r="Q20" s="37" t="s">
        <v>4</v>
      </c>
      <c r="R20" s="21" t="s">
        <v>14</v>
      </c>
      <c r="AA20" s="5"/>
      <c r="AB20" s="6"/>
    </row>
    <row r="21" spans="2:56" hidden="1" outlineLevel="1">
      <c r="B21" s="48"/>
      <c r="D21" s="3" t="str">
        <f>IF(AND(OR($D3=D$19,$E3=D$19),$F3=""),"A",IF($D3=D$19,$I3,0)+IF($E3=D$19,$J3,0))</f>
        <v>A</v>
      </c>
      <c r="E21" s="3">
        <f>IF($D3=D$19,$F3,0)+IF($E3=D$19,$G3,0)</f>
        <v>0</v>
      </c>
      <c r="F21" s="1">
        <f>IF($D3=D$19,-$G3,0)+IF($E3=D$19,-$F3,0)</f>
        <v>0</v>
      </c>
      <c r="G21" s="22" t="str">
        <f>IF(AND(OR($D3=G$19,$E3=G$19),$F3=""),"A",IF($D3=G$19,$I3,0)+IF($E3=G$19,$J3,0))</f>
        <v>A</v>
      </c>
      <c r="H21" s="59">
        <f>IF($D3=G$19,$F3,0)+IF($E3=G$19,$G3,0)</f>
        <v>0</v>
      </c>
      <c r="I21" s="1">
        <f>IF($D3=G$19,-$G3,0)+IF($E3=G$19,-$F3,0)</f>
        <v>0</v>
      </c>
      <c r="J21" s="22">
        <f>IF(AND(OR($D3=J$19,$E3=J$19),$F3=""),"A",IF($D3=J$19,$I3,0)+IF($E3=J$19,$J3,0))</f>
        <v>0</v>
      </c>
      <c r="K21" s="22">
        <f>IF($D3=J$19,$F3,0)+IF($E3=J$19,$G3,0)</f>
        <v>0</v>
      </c>
      <c r="L21" s="1">
        <f>IF($D3=J$19,-$G3,0)+IF($E3=J$19,-$F3,0)</f>
        <v>0</v>
      </c>
      <c r="M21" s="22">
        <f>IF(AND(OR($D3=M$19,$E3=M$19),$F3=""),"A",IF($D3=M$19,$I3,0)+IF($E3=M$19,$J3,0))</f>
        <v>0</v>
      </c>
      <c r="N21" s="22">
        <f>IF($D3=M$19,$F3,0)+IF($E3=M$19,$G3,0)</f>
        <v>0</v>
      </c>
      <c r="O21" s="1">
        <f>IF($D3=M$19,-$G3,0)+IF($E3=M$19,-$F3,0)</f>
        <v>0</v>
      </c>
      <c r="P21" s="22">
        <f>IF(AND(OR($D3=P$19,$E3=P$19),$F3=""),"A",IF($D3=P$19,$I3,0)+IF($E3=P$19,$J3,0))</f>
        <v>0</v>
      </c>
      <c r="Q21" s="22">
        <f>IF($D3=P$19,$F3,0)+IF($E3=P$19,$G3,0)</f>
        <v>0</v>
      </c>
      <c r="R21" s="1">
        <f>IF($D3=P$19,-$G3,0)+IF($E3=P$19,-$F3,0)</f>
        <v>0</v>
      </c>
    </row>
    <row r="22" spans="2:56" hidden="1" outlineLevel="1">
      <c r="B22" s="48"/>
      <c r="D22" s="3">
        <f>IF(AND(OR($D4=D$19,$E4=D$19),$F4=""),"A",IF($D4=D$19,$I4,0)+IF($E4=D$19,$J4,0))</f>
        <v>0</v>
      </c>
      <c r="E22" s="3">
        <f>IF($D4=$B$5,$F4,0)+IF($E4=$B$5,$G4,0)</f>
        <v>0</v>
      </c>
      <c r="F22" s="1">
        <f>IF($D4=$B$5,-$G4,0)+IF($E4=$B$5,-$F4,0)</f>
        <v>0</v>
      </c>
      <c r="G22" s="22">
        <f>IF(AND(OR($D4=G$19,$E4=G$19),$F4=""),"A",IF($D4=G$19,$I4,0)+IF($E4=G$19,$J4,0))</f>
        <v>0</v>
      </c>
      <c r="H22" s="59">
        <f>IF($D4=G$19,$F4,0)+IF($E4=G$19,$G4,0)</f>
        <v>0</v>
      </c>
      <c r="I22" s="1">
        <f>IF($D4=G$19,-$G4,0)+IF($E4=G$19,-$F4,0)</f>
        <v>0</v>
      </c>
      <c r="J22" s="22" t="str">
        <f>IF(AND(OR($D4=J$19,$E4=J$19),$F4=""),"A",IF($D4=J$19,$I4,0)+IF($E4=J$19,$J4,0))</f>
        <v>A</v>
      </c>
      <c r="K22" s="22">
        <f>IF($D4=J$19,$F4,0)+IF($E4=J$19,$G4,0)</f>
        <v>0</v>
      </c>
      <c r="L22" s="1">
        <f>IF($D4=J$19,-$G4,0)+IF($E4=J$19,-$F4,0)</f>
        <v>0</v>
      </c>
      <c r="M22" s="22" t="str">
        <f>IF(AND(OR($D4=M$19,$E4=M$19),$F4=""),"A",IF($D4=M$19,$I4,0)+IF($E4=M$19,$J4,0))</f>
        <v>A</v>
      </c>
      <c r="N22" s="22">
        <f>IF($D4=M$19,$F4,0)+IF($E4=M$19,$G4,0)</f>
        <v>0</v>
      </c>
      <c r="O22" s="1">
        <f>IF($D4=M$19,-$G4,0)+IF($E4=M$19,-$F4,0)</f>
        <v>0</v>
      </c>
      <c r="P22" s="22">
        <f>IF(AND(OR($D4=P$19,$E4=P$19),$F4=""),"A",IF($D4=P$19,$I4,0)+IF($E4=P$19,$J4,0))</f>
        <v>0</v>
      </c>
      <c r="Q22" s="22">
        <f>IF($D4=P$19,$F4,0)+IF($E4=P$19,$G4,0)</f>
        <v>0</v>
      </c>
      <c r="R22" s="1">
        <f>IF($D4=P$19,-$G4,0)+IF($E4=P$19,-$F4,0)</f>
        <v>0</v>
      </c>
    </row>
    <row r="23" spans="2:56" hidden="1" outlineLevel="1">
      <c r="B23" s="48"/>
      <c r="D23" s="3" t="str">
        <f>IF(AND(OR($D14=D$19,$E14=D$19),$F14=""),"A",IF($D14=D$19,$I5,0)+IF($E14=D$19,$J5,0))</f>
        <v>A</v>
      </c>
      <c r="E23" s="3">
        <f>IF($D14=$B$5,$F14,0)+IF($E14=$B$5,$G14,0)</f>
        <v>0</v>
      </c>
      <c r="F23" s="1">
        <f>IF($D14=$B$5,-$G14,0)+IF($E14=$B$5,-$F14,0)</f>
        <v>0</v>
      </c>
      <c r="G23" s="22">
        <f>IF(AND(OR($D14=G$19,$E14=G$19),$F14=""),"A",IF($D14=G$19,$I5,0)+IF($E14=G$19,$J5,0))</f>
        <v>0</v>
      </c>
      <c r="H23" s="59">
        <f>IF($D14=G$19,$F14,0)+IF($E14=G$19,$G14,0)</f>
        <v>0</v>
      </c>
      <c r="I23" s="1">
        <f>IF($D14=G$19,-$G14,0)+IF($E14=G$19,-$F14,0)</f>
        <v>0</v>
      </c>
      <c r="J23" s="22">
        <f>IF(AND(OR($D14=J$19,$E14=J$19),$F14=""),"A",IF($D14=J$19,$I5,0)+IF($E14=J$19,$J5,0))</f>
        <v>0</v>
      </c>
      <c r="K23" s="22">
        <f>IF($D14=J$19,$F14,0)+IF($E14=J$19,$G14,0)</f>
        <v>0</v>
      </c>
      <c r="L23" s="1">
        <f>IF($D14=J$19,-$G14,0)+IF($E14=J$19,-$F14,0)</f>
        <v>0</v>
      </c>
      <c r="M23" s="22">
        <f>IF(AND(OR($D14=M$19,$E14=M$19),$F14=""),"A",IF($D14=M$19,$I5,0)+IF($E14=M$19,$J5,0))</f>
        <v>0</v>
      </c>
      <c r="N23" s="22">
        <f>IF($D14=M$19,$F14,0)+IF($E14=M$19,$G14,0)</f>
        <v>0</v>
      </c>
      <c r="O23" s="1">
        <f>IF($D14=M$19,-$G14,0)+IF($E14=M$19,-$F14,0)</f>
        <v>0</v>
      </c>
      <c r="P23" s="22" t="str">
        <f>IF(AND(OR($D14=P$19,$E14=P$19),$F14=""),"A",IF($D14=P$19,$I5,0)+IF($E14=P$19,$J5,0))</f>
        <v>A</v>
      </c>
      <c r="Q23" s="22">
        <f>IF($D14=P$19,$F14,0)+IF($E14=P$19,$G14,0)</f>
        <v>0</v>
      </c>
      <c r="R23" s="1">
        <f>IF($D14=P$19,-$G14,0)+IF($E14=P$19,-$F14,0)</f>
        <v>0</v>
      </c>
    </row>
    <row r="24" spans="2:56" hidden="1" outlineLevel="1">
      <c r="B24" s="48"/>
      <c r="D24" s="3" t="str">
        <f>IF(AND(OR($D5=D$19,$E5=D$19),$F5=""),"A",IF($D5=D$19,$I6,0)+IF($E5=D$19,$J6,0))</f>
        <v>A</v>
      </c>
      <c r="E24" s="3">
        <f>IF($D5=$B$5,$F5,0)+IF($E5=$B$5,$G5,0)</f>
        <v>0</v>
      </c>
      <c r="F24" s="1">
        <f>IF($D5=$B$5,-$G5,0)+IF($E5=$B$5,-$F5,0)</f>
        <v>0</v>
      </c>
      <c r="G24" s="22">
        <f>IF(AND(OR($D5=G$19,$E5=G$19),$F5=""),"A",IF($D5=G$19,$I6,0)+IF($E5=G$19,$J6,0))</f>
        <v>0</v>
      </c>
      <c r="H24" s="59">
        <f>IF($D5=G$19,$F5,0)+IF($E5=G$19,$G5,0)</f>
        <v>0</v>
      </c>
      <c r="I24" s="1">
        <f>IF($D5=G$19,-$G5,0)+IF($E5=G$19,-$F5,0)</f>
        <v>0</v>
      </c>
      <c r="J24" s="22" t="str">
        <f>IF(AND(OR($D5=J$19,$E5=J$19),$F5=""),"A",IF($D5=J$19,$I6,0)+IF($E5=J$19,$J6,0))</f>
        <v>A</v>
      </c>
      <c r="K24" s="22">
        <f>IF($D5=J$19,$F5,0)+IF($E5=J$19,$G5,0)</f>
        <v>0</v>
      </c>
      <c r="L24" s="1">
        <f>IF($D5=J$19,-$G5,0)+IF($E5=J$19,-$F5,0)</f>
        <v>0</v>
      </c>
      <c r="M24" s="22">
        <f>IF(AND(OR($D5=M$19,$E5=M$19),$F5=""),"A",IF($D5=M$19,$I6,0)+IF($E5=M$19,$J6,0))</f>
        <v>0</v>
      </c>
      <c r="N24" s="22">
        <f>IF($D5=M$19,$F5,0)+IF($E5=M$19,$G5,0)</f>
        <v>0</v>
      </c>
      <c r="O24" s="1">
        <f>IF($D5=M$19,-$G5,0)+IF($E5=M$19,-$F5,0)</f>
        <v>0</v>
      </c>
      <c r="P24" s="22">
        <f>IF(AND(OR($D5=P$19,$E5=P$19),$F5=""),"A",IF($D5=P$19,$I6,0)+IF($E5=P$19,$J6,0))</f>
        <v>0</v>
      </c>
      <c r="Q24" s="22">
        <f>IF($D5=P$19,$F5,0)+IF($E5=P$19,$G5,0)</f>
        <v>0</v>
      </c>
      <c r="R24" s="1">
        <f>IF($D5=P$19,-$G5,0)+IF($E5=P$19,-$F5,0)</f>
        <v>0</v>
      </c>
    </row>
    <row r="25" spans="2:56" hidden="1" outlineLevel="1">
      <c r="B25" s="48"/>
      <c r="D25" s="3">
        <f>IF(AND(OR($D15=D$19,$E15=D$19),$F15=""),"A",IF($D15=D$19,$I7,0)+IF($E15=D$19,$J7,0))</f>
        <v>0</v>
      </c>
      <c r="E25" s="3">
        <f>IF($D15=$B$5,$F15,0)+IF($E15=$B$5,$G15,0)</f>
        <v>0</v>
      </c>
      <c r="F25" s="1">
        <f>IF($D15=$B$5,-$G15,0)+IF($E15=$B$5,-$F15,0)</f>
        <v>0</v>
      </c>
      <c r="G25" s="22">
        <f>IF(AND(OR($D15=G$19,$E15=G$19),$F15=""),"A",IF($D15=G$19,$I7,0)+IF($E15=G$19,$J7,0))</f>
        <v>0</v>
      </c>
      <c r="H25" s="59">
        <f>IF($D15=G$19,$F15,0)+IF($E15=G$19,$G15,0)</f>
        <v>0</v>
      </c>
      <c r="I25" s="1">
        <f>IF($D15=G$19,-$G15,0)+IF($E15=G$19,-$F15,0)</f>
        <v>0</v>
      </c>
      <c r="J25" s="22">
        <f>IF(AND(OR($D15=J$19,$E15=J$19),$F15=""),"A",IF($D15=J$19,$I7,0)+IF($E15=J$19,$J7,0))</f>
        <v>0</v>
      </c>
      <c r="K25" s="22">
        <f>IF($D15=J$19,$F15,0)+IF($E15=J$19,$G15,0)</f>
        <v>0</v>
      </c>
      <c r="L25" s="1">
        <f>IF($D15=J$19,-$G15,0)+IF($E15=J$19,-$F15,0)</f>
        <v>0</v>
      </c>
      <c r="M25" s="22" t="str">
        <f>IF(AND(OR($D15=M$19,$E15=M$19),$F15=""),"A",IF($D15=M$19,$I7,0)+IF($E15=M$19,$J7,0))</f>
        <v>A</v>
      </c>
      <c r="N25" s="22">
        <f>IF($D15=M$19,$F15,0)+IF($E15=M$19,$G15,0)</f>
        <v>0</v>
      </c>
      <c r="O25" s="1">
        <f>IF($D15=M$19,-$G15,0)+IF($E15=M$19,-$F15,0)</f>
        <v>0</v>
      </c>
      <c r="P25" s="22" t="str">
        <f>IF(AND(OR($D15=P$19,$E15=P$19),$F15=""),"A",IF($D15=P$19,$I7,0)+IF($E15=P$19,$J7,0))</f>
        <v>A</v>
      </c>
      <c r="Q25" s="22">
        <f>IF($D15=P$19,$F15,0)+IF($E15=P$19,$G15,0)</f>
        <v>0</v>
      </c>
      <c r="R25" s="1">
        <f>IF($D15=P$19,-$G15,0)+IF($E15=P$19,-$F15,0)</f>
        <v>0</v>
      </c>
    </row>
    <row r="26" spans="2:56" hidden="1" outlineLevel="1">
      <c r="B26" s="48"/>
      <c r="D26" s="3">
        <f>IF(AND(OR($D6=D$19,$E6=D$19),$F6=""),"A",IF($D6=D$19,$I8,0)+IF($E6=D$19,$J8,0))</f>
        <v>0</v>
      </c>
      <c r="E26" s="3">
        <f>IF($D6=$B$5,$F6,0)+IF($E6=$B$5,$G6,0)</f>
        <v>0</v>
      </c>
      <c r="F26" s="1">
        <f>IF($D6=$B$5,-$G6,0)+IF($E6=$B$5,-$F6,0)</f>
        <v>0</v>
      </c>
      <c r="G26" s="22" t="str">
        <f>IF(AND(OR($D6=G$19,$E6=G$19),$F6=""),"A",IF($D6=G$19,$I8,0)+IF($E6=G$19,$J8,0))</f>
        <v>A</v>
      </c>
      <c r="H26" s="59">
        <f>IF($D6=G$19,$F6,0)+IF($E6=G$19,$G6,0)</f>
        <v>0</v>
      </c>
      <c r="I26" s="1">
        <f>IF($D6=G$19,-$G6,0)+IF($E6=G$19,-$F6,0)</f>
        <v>0</v>
      </c>
      <c r="J26" s="22">
        <f>IF(AND(OR($D6=J$19,$E6=J$19),$F6=""),"A",IF($D6=J$19,$I8,0)+IF($E6=J$19,$J8,0))</f>
        <v>0</v>
      </c>
      <c r="K26" s="22">
        <f>IF($D6=J$19,$F6,0)+IF($E6=J$19,$G6,0)</f>
        <v>0</v>
      </c>
      <c r="L26" s="1">
        <f>IF($D6=J$19,-$G6,0)+IF($E6=J$19,-$F6,0)</f>
        <v>0</v>
      </c>
      <c r="M26" s="22" t="str">
        <f>IF(AND(OR($D6=M$19,$E6=M$19),$F6=""),"A",IF($D6=M$19,$I8,0)+IF($E6=M$19,$J8,0))</f>
        <v>A</v>
      </c>
      <c r="N26" s="22">
        <f>IF($D6=M$19,$F6,0)+IF($E6=M$19,$G6,0)</f>
        <v>0</v>
      </c>
      <c r="O26" s="1">
        <f>IF($D6=M$19,-$G6,0)+IF($E6=M$19,-$F6,0)</f>
        <v>0</v>
      </c>
      <c r="P26" s="22">
        <f>IF(AND(OR($D6=P$19,$E6=P$19),$F6=""),"A",IF($D6=P$19,$I8,0)+IF($E6=P$19,$J8,0))</f>
        <v>0</v>
      </c>
      <c r="Q26" s="22">
        <f>IF($D6=P$19,$F6,0)+IF($E6=P$19,$G6,0)</f>
        <v>0</v>
      </c>
      <c r="R26" s="1">
        <f>IF($D6=P$19,-$G6,0)+IF($E6=P$19,-$F6,0)</f>
        <v>0</v>
      </c>
    </row>
    <row r="27" spans="2:56" hidden="1" outlineLevel="1">
      <c r="B27" s="48"/>
      <c r="D27" s="3" t="str">
        <f>IF(AND(OR($D7=D$19,$E7=D$19),$F7=""),"A",IF($D7=D$19,$I9,0)+IF($E7=D$19,$J9,0))</f>
        <v>A</v>
      </c>
      <c r="E27" s="3">
        <f>IF($D7=$B$5,$F7,0)+IF($E7=$B$5,$G7,0)</f>
        <v>0</v>
      </c>
      <c r="F27" s="1">
        <f>IF($D7=$B$5,-$G7,0)+IF($E7=$B$5,-$F7,0)</f>
        <v>0</v>
      </c>
      <c r="G27" s="22">
        <f>IF(AND(OR($D7=G$19,$E7=G$19),$F7=""),"A",IF($D7=G$19,$I9,0)+IF($E7=G$19,$J9,0))</f>
        <v>0</v>
      </c>
      <c r="H27" s="59">
        <f>IF($D7=G$19,$F7,0)+IF($E7=G$19,$G7,0)</f>
        <v>0</v>
      </c>
      <c r="I27" s="1">
        <f>IF($D7=G$19,-$G7,0)+IF($E7=G$19,-$F7,0)</f>
        <v>0</v>
      </c>
      <c r="J27" s="22">
        <f>IF(AND(OR($D7=J$19,$E7=J$19),$F7=""),"A",IF($D7=J$19,$I9,0)+IF($E7=J$19,$J9,0))</f>
        <v>0</v>
      </c>
      <c r="K27" s="22">
        <f>IF($D7=J$19,$F7,0)+IF($E7=J$19,$G7,0)</f>
        <v>0</v>
      </c>
      <c r="L27" s="1">
        <f>IF($D7=J$19,-$G7,0)+IF($E7=J$19,-$F7,0)</f>
        <v>0</v>
      </c>
      <c r="M27" s="22" t="str">
        <f>IF(AND(OR($D7=M$19,$E7=M$19),$F7=""),"A",IF($D7=M$19,$I9,0)+IF($E7=M$19,$J9,0))</f>
        <v>A</v>
      </c>
      <c r="N27" s="22">
        <f>IF($D7=M$19,$F7,0)+IF($E7=M$19,$G7,0)</f>
        <v>0</v>
      </c>
      <c r="O27" s="1">
        <f>IF($D7=M$19,-$G7,0)+IF($E7=M$19,-$F7,0)</f>
        <v>0</v>
      </c>
      <c r="P27" s="22">
        <f>IF(AND(OR($D7=P$19,$E7=P$19),$F7=""),"A",IF($D7=P$19,$I9,0)+IF($E7=P$19,$J9,0))</f>
        <v>0</v>
      </c>
      <c r="Q27" s="22">
        <f>IF($D7=P$19,$F7,0)+IF($E7=P$19,$G7,0)</f>
        <v>0</v>
      </c>
      <c r="R27" s="1">
        <f>IF($D7=P$19,-$G7,0)+IF($E7=P$19,-$F7,0)</f>
        <v>0</v>
      </c>
    </row>
    <row r="28" spans="2:56" hidden="1" outlineLevel="1">
      <c r="B28" s="48"/>
      <c r="D28" s="3">
        <f>IF(AND(OR($D16=D$19,$E16=D$19),$F16=""),"A",IF($D16=D$19,$I10,0)+IF($E16=D$19,$J10,0))</f>
        <v>0</v>
      </c>
      <c r="E28" s="3">
        <f>IF($D16=$B$5,$F16,0)+IF($E16=$B$5,$G16,0)</f>
        <v>0</v>
      </c>
      <c r="F28" s="1">
        <f>IF($D16=$B$5,-$G16,0)+IF($E16=$B$5,-$F16,0)</f>
        <v>0</v>
      </c>
      <c r="G28" s="22" t="str">
        <f>IF(AND(OR($D16=G$19,$E16=G$19),$F16=""),"A",IF($D16=G$19,$I10,0)+IF($E16=G$19,$J10,0))</f>
        <v>A</v>
      </c>
      <c r="H28" s="59">
        <f>IF($D16=G$19,$F16,0)+IF($E16=G$19,$G16,0)</f>
        <v>0</v>
      </c>
      <c r="I28" s="1">
        <f>IF($D16=G$19,-$G16,0)+IF($E16=G$19,-$F16,0)</f>
        <v>0</v>
      </c>
      <c r="J28" s="22">
        <f>IF(AND(OR($D16=J$19,$E16=J$19),$F16=""),"A",IF($D16=J$19,$I10,0)+IF($E16=J$19,$J10,0))</f>
        <v>0</v>
      </c>
      <c r="K28" s="22">
        <f>IF($D16=J$19,$F16,0)+IF($E16=J$19,$G16,0)</f>
        <v>0</v>
      </c>
      <c r="L28" s="1">
        <f>IF($D16=J$19,-$G16,0)+IF($E16=J$19,-$F16,0)</f>
        <v>0</v>
      </c>
      <c r="M28" s="22">
        <f>IF(AND(OR($D16=M$19,$E16=M$19),$F16=""),"A",IF($D16=M$19,$I10,0)+IF($E16=M$19,$J10,0))</f>
        <v>0</v>
      </c>
      <c r="N28" s="22">
        <f>IF($D16=M$19,$F16,0)+IF($E16=M$19,$G16,0)</f>
        <v>0</v>
      </c>
      <c r="O28" s="1">
        <f>IF($D16=M$19,-$G16,0)+IF($E16=M$19,-$F16,0)</f>
        <v>0</v>
      </c>
      <c r="P28" s="22" t="str">
        <f>IF(AND(OR($D16=P$19,$E16=P$19),$F16=""),"A",IF($D16=P$19,$I10,0)+IF($E16=P$19,$J10,0))</f>
        <v>A</v>
      </c>
      <c r="Q28" s="22">
        <f>IF($D16=P$19,$F16,0)+IF($E16=P$19,$G16,0)</f>
        <v>0</v>
      </c>
      <c r="R28" s="1">
        <f>IF($D16=P$19,-$G16,0)+IF($E16=P$19,-$F16,0)</f>
        <v>0</v>
      </c>
    </row>
    <row r="29" spans="2:56" hidden="1" outlineLevel="1">
      <c r="B29" s="48"/>
      <c r="D29" s="3">
        <f>IF(AND(OR($D8=D$19,$E8=D$19),$F8=""),"A",IF($D8=D$19,$I11,0)+IF($E8=D$19,$J11,0))</f>
        <v>0</v>
      </c>
      <c r="E29" s="3">
        <f>IF($D8=$B$5,$F8,0)+IF($E8=$B$5,$G8,0)</f>
        <v>0</v>
      </c>
      <c r="F29" s="1">
        <f>IF($D8=$B$5,-$G8,0)+IF($E8=$B$5,-$F8,0)</f>
        <v>0</v>
      </c>
      <c r="G29" s="22" t="str">
        <f>IF(AND(OR($D8=G$19,$E8=G$19),$F8=""),"A",IF($D8=G$19,$I11,0)+IF($E8=G$19,$J11,0))</f>
        <v>A</v>
      </c>
      <c r="H29" s="59">
        <f>IF($D8=G$19,$F8,0)+IF($E8=G$19,$G8,0)</f>
        <v>0</v>
      </c>
      <c r="I29" s="1">
        <f>IF($D8=G$19,-$G8,0)+IF($E8=G$19,-$F8,0)</f>
        <v>0</v>
      </c>
      <c r="J29" s="22" t="str">
        <f>IF(AND(OR($D8=J$19,$E8=J$19),$F8=""),"A",IF($D8=J$19,$I11,0)+IF($E8=J$19,$J11,0))</f>
        <v>A</v>
      </c>
      <c r="K29" s="22">
        <f>IF($D8=J$19,$F8,0)+IF($E8=J$19,$G8,0)</f>
        <v>0</v>
      </c>
      <c r="L29" s="1">
        <f>IF($D8=J$19,-$G8,0)+IF($E8=J$19,-$F8,0)</f>
        <v>0</v>
      </c>
      <c r="M29" s="22">
        <f>IF(AND(OR($D8=M$19,$E8=M$19),$F8=""),"A",IF($D8=M$19,$I11,0)+IF($E8=M$19,$J11,0))</f>
        <v>0</v>
      </c>
      <c r="N29" s="22">
        <f>IF($D8=M$19,$F8,0)+IF($E8=M$19,$G8,0)</f>
        <v>0</v>
      </c>
      <c r="O29" s="1">
        <f>IF($D8=M$19,-$G8,0)+IF($E8=M$19,-$F8,0)</f>
        <v>0</v>
      </c>
      <c r="P29" s="22">
        <f>IF(AND(OR($D8=P$19,$E8=P$19),$F8=""),"A",IF($D8=P$19,$I11,0)+IF($E8=P$19,$J11,0))</f>
        <v>0</v>
      </c>
      <c r="Q29" s="22">
        <f>IF($D8=P$19,$F8,0)+IF($E8=P$19,$G8,0)</f>
        <v>0</v>
      </c>
      <c r="R29" s="1">
        <f>IF($D8=P$19,-$G8,0)+IF($E8=P$19,-$F8,0)</f>
        <v>0</v>
      </c>
    </row>
    <row r="30" spans="2:56" hidden="1" outlineLevel="1">
      <c r="B30" s="48"/>
      <c r="D30" s="3">
        <f>IF(AND(OR($D17=D$19,$E17=D$19),$F17=""),"A",IF($D17=D$19,$I12,0)+IF($E17=D$19,$J12,0))</f>
        <v>0</v>
      </c>
      <c r="E30" s="3">
        <f>IF($D17=$B$5,$F17,0)+IF($E17=$B$5,$G17,0)</f>
        <v>0</v>
      </c>
      <c r="F30" s="1">
        <f>IF($D17=$B$5,-$G17,0)+IF($E17=$B$5,-$F17,0)</f>
        <v>0</v>
      </c>
      <c r="G30" s="22">
        <f>IF(AND(OR($D17=G$19,$E17=G$19),$F17=""),"A",IF($D17=G$19,$I12,0)+IF($E17=G$19,$J12,0))</f>
        <v>0</v>
      </c>
      <c r="H30" s="59">
        <f>IF($D17=G$19,$F17,0)+IF($E17=G$19,$G17,0)</f>
        <v>0</v>
      </c>
      <c r="I30" s="1">
        <f>IF($D17=G$19,-$G17,0)+IF($E17=G$19,-$F17,0)</f>
        <v>0</v>
      </c>
      <c r="J30" s="22" t="str">
        <f>IF(AND(OR($D17=J$19,$E17=J$19),$F17=""),"A",IF($D17=J$19,$I12,0)+IF($E17=J$19,$J12,0))</f>
        <v>A</v>
      </c>
      <c r="K30" s="22">
        <f>IF($D17=J$19,$F17,0)+IF($E17=J$19,$G17,0)</f>
        <v>0</v>
      </c>
      <c r="L30" s="1">
        <f>IF($D17=J$19,-$G17,0)+IF($E17=J$19,-$F17,0)</f>
        <v>0</v>
      </c>
      <c r="M30" s="22">
        <f>IF(AND(OR($D17=M$19,$E17=M$19),$F17=""),"A",IF($D17=M$19,$I12,0)+IF($E17=M$19,$J12,0))</f>
        <v>0</v>
      </c>
      <c r="N30" s="22">
        <f>IF($D17=M$19,$F17,0)+IF($E17=M$19,$G17,0)</f>
        <v>0</v>
      </c>
      <c r="O30" s="1">
        <f>IF($D17=M$19,-$G17,0)+IF($E17=M$19,-$F17,0)</f>
        <v>0</v>
      </c>
      <c r="P30" s="22" t="str">
        <f>IF(AND(OR($D17=P$19,$E17=P$19),$F17=""),"A",IF($D17=P$19,$I12,0)+IF($E17=P$19,$J12,0))</f>
        <v>A</v>
      </c>
      <c r="Q30" s="22">
        <f>IF($D17=P$19,$F17,0)+IF($E17=P$19,$G17,0)</f>
        <v>0</v>
      </c>
      <c r="R30" s="1">
        <f>IF($D17=P$19,-$G17,0)+IF($E17=P$19,-$F17,0)</f>
        <v>0</v>
      </c>
    </row>
    <row r="31" spans="2:56" hidden="1" outlineLevel="1">
      <c r="B31" s="48"/>
    </row>
    <row r="32" spans="2:56" hidden="1" outlineLevel="1">
      <c r="B32" s="48"/>
      <c r="H32" s="59" t="s">
        <v>15</v>
      </c>
      <c r="I32" s="1" t="s">
        <v>16</v>
      </c>
      <c r="J32" s="38" t="s">
        <v>4</v>
      </c>
      <c r="K32" s="1" t="s">
        <v>17</v>
      </c>
    </row>
    <row r="33" spans="1:54" hidden="1" outlineLevel="1">
      <c r="A33" s="21">
        <f>RANK(B33,B$33:B$37,1)</f>
        <v>1</v>
      </c>
      <c r="B33" s="48">
        <f>SUM(H33:J33)+ROW()/1000</f>
        <v>10110.032999999999</v>
      </c>
      <c r="C33" s="22" t="str">
        <f>B5</f>
        <v>Brasilien</v>
      </c>
      <c r="D33" s="3">
        <f>SUM(D21:D30)</f>
        <v>0</v>
      </c>
      <c r="E33" s="3">
        <f>F33+G33</f>
        <v>0</v>
      </c>
      <c r="F33" s="22">
        <f>SUM(E21:E30)</f>
        <v>0</v>
      </c>
      <c r="G33" s="22">
        <f>SUM(F21:F30)</f>
        <v>0</v>
      </c>
      <c r="H33" s="59">
        <f>10000*RANK(D33,D$33:D$37)-N33</f>
        <v>10000</v>
      </c>
      <c r="I33" s="1">
        <f>100*RANK(E33,E$33:E$37)</f>
        <v>100</v>
      </c>
      <c r="J33" s="1">
        <f>10*RANK(F33,F$33:F$37)</f>
        <v>10</v>
      </c>
      <c r="K33" s="1">
        <f>4-COUNTIF(D$21:D$30,"A")</f>
        <v>0</v>
      </c>
      <c r="L33" s="1">
        <f>COUNTIF(D$21:D$30,I$2)</f>
        <v>0</v>
      </c>
      <c r="M33" s="1">
        <f>COUNTIF(D$21:D$30,J$2)</f>
        <v>0</v>
      </c>
      <c r="N33" s="1">
        <f>IF(A5&lt;&gt;"",500,0)</f>
        <v>0</v>
      </c>
      <c r="O33" s="39" t="str">
        <f>IF(A5&lt;&gt;"",UPPER(A5),"")</f>
        <v/>
      </c>
    </row>
    <row r="34" spans="1:54" hidden="1" outlineLevel="1">
      <c r="A34" s="21">
        <f>RANK(B34,B$33:B$37,1)</f>
        <v>2</v>
      </c>
      <c r="B34" s="48">
        <f>SUM(H34:J34)+ROW()/1000</f>
        <v>10110.034</v>
      </c>
      <c r="C34" s="22" t="str">
        <f>B6</f>
        <v>Kroatien</v>
      </c>
      <c r="D34" s="3">
        <f>SUM(G21:G30)</f>
        <v>0</v>
      </c>
      <c r="E34" s="3">
        <f>F34+G34</f>
        <v>0</v>
      </c>
      <c r="F34" s="22">
        <f>SUM(H21:H30)</f>
        <v>0</v>
      </c>
      <c r="G34" s="22">
        <f>SUM(I21:I30)</f>
        <v>0</v>
      </c>
      <c r="H34" s="59">
        <f>10000*RANK(D34,D$33:D$37)-N34</f>
        <v>10000</v>
      </c>
      <c r="I34" s="1">
        <f>100*RANK(E34,E$33:E$37)</f>
        <v>100</v>
      </c>
      <c r="J34" s="1">
        <f>10*RANK(F34,F$33:F$37)</f>
        <v>10</v>
      </c>
      <c r="K34" s="1">
        <f>4-COUNTIF(G$21:G$30,"A")</f>
        <v>0</v>
      </c>
      <c r="L34" s="1">
        <f>COUNTIF(G$21:G$30,I$2)</f>
        <v>0</v>
      </c>
      <c r="M34" s="1">
        <f>COUNTIF(G$21:G$30,J$2)</f>
        <v>0</v>
      </c>
      <c r="N34" s="1">
        <f>IF(A6&lt;&gt;"",500,0)</f>
        <v>0</v>
      </c>
      <c r="O34" s="39" t="str">
        <f>IF(A6&lt;&gt;"",UPPER(A6),"")</f>
        <v/>
      </c>
    </row>
    <row r="35" spans="1:54" hidden="1" outlineLevel="1">
      <c r="A35" s="21">
        <f>RANK(B35,B$33:B$37,1)</f>
        <v>3</v>
      </c>
      <c r="B35" s="48">
        <f>SUM(H35:J35)+ROW()/1000</f>
        <v>10110.035</v>
      </c>
      <c r="C35" s="22" t="str">
        <f>B7</f>
        <v>Mexico</v>
      </c>
      <c r="D35" s="3">
        <f>SUM(J21:J30)</f>
        <v>0</v>
      </c>
      <c r="E35" s="3">
        <f>F35+G35</f>
        <v>0</v>
      </c>
      <c r="F35" s="22">
        <f>SUM(K21:K30)</f>
        <v>0</v>
      </c>
      <c r="G35" s="22">
        <f>SUM(L21:L30)</f>
        <v>0</v>
      </c>
      <c r="H35" s="59">
        <f>10000*RANK(D35,D$33:D$37)-N35</f>
        <v>10000</v>
      </c>
      <c r="I35" s="1">
        <f>100*RANK(E35,E$33:E$37)</f>
        <v>100</v>
      </c>
      <c r="J35" s="1">
        <f>10*RANK(F35,F$33:F$37)</f>
        <v>10</v>
      </c>
      <c r="K35" s="1">
        <f>4-COUNTIF(J$21:J$30,"A")</f>
        <v>0</v>
      </c>
      <c r="L35" s="1">
        <f>COUNTIF(J$21:J$30,I$2)</f>
        <v>0</v>
      </c>
      <c r="M35" s="1">
        <f>COUNTIF(J$21:J$30,J$2)</f>
        <v>0</v>
      </c>
      <c r="N35" s="1">
        <f>IF(A7&lt;&gt;"",500,0)</f>
        <v>0</v>
      </c>
      <c r="O35" s="39" t="str">
        <f>IF(A7&lt;&gt;"",UPPER(A7),"")</f>
        <v/>
      </c>
    </row>
    <row r="36" spans="1:54" hidden="1" outlineLevel="1">
      <c r="A36" s="21">
        <f>RANK(B36,B$33:B$37,1)</f>
        <v>4</v>
      </c>
      <c r="B36" s="48">
        <f>SUM(H36:J36)+ROW()/1000</f>
        <v>10110.036</v>
      </c>
      <c r="C36" s="22" t="str">
        <f>B8</f>
        <v>Kamerun</v>
      </c>
      <c r="D36" s="3">
        <f>SUM(M21:M30)</f>
        <v>0</v>
      </c>
      <c r="E36" s="3">
        <f>F36+G36</f>
        <v>0</v>
      </c>
      <c r="F36" s="22">
        <f>SUM(N21:N30)</f>
        <v>0</v>
      </c>
      <c r="G36" s="22">
        <f>SUM(O21:O30)</f>
        <v>0</v>
      </c>
      <c r="H36" s="59">
        <f>10000*RANK(D36,D$33:D$37)-N36</f>
        <v>10000</v>
      </c>
      <c r="I36" s="1">
        <f>100*RANK(E36,E$33:E$37)</f>
        <v>100</v>
      </c>
      <c r="J36" s="1">
        <f>10*RANK(F36,F$33:F$37)</f>
        <v>10</v>
      </c>
      <c r="K36" s="1">
        <f>4-COUNTIF(M$21:M$30,"A")</f>
        <v>0</v>
      </c>
      <c r="L36" s="1">
        <f>COUNTIF(M$21:M$30,I$2)</f>
        <v>0</v>
      </c>
      <c r="M36" s="1">
        <f>COUNTIF(M$21:M$30,J$2)</f>
        <v>0</v>
      </c>
      <c r="N36" s="1">
        <f>IF(A8&lt;&gt;"",500,0)</f>
        <v>0</v>
      </c>
      <c r="O36" s="39" t="str">
        <f>IF(A8&lt;&gt;"",UPPER(A8),"")</f>
        <v/>
      </c>
    </row>
    <row r="37" spans="1:54" hidden="1" outlineLevel="1">
      <c r="A37" s="21">
        <f>RANK(B37,B$33:B$37,1)</f>
        <v>5</v>
      </c>
      <c r="B37" s="48">
        <f>SUM(H37:J37)+ROW()/1000</f>
        <v>10510.037</v>
      </c>
      <c r="C37" s="22" t="str">
        <f>B14</f>
        <v>#######</v>
      </c>
      <c r="D37" s="3">
        <v>0</v>
      </c>
      <c r="E37" s="3">
        <f>F37+G37</f>
        <v>-100</v>
      </c>
      <c r="F37" s="22">
        <v>0</v>
      </c>
      <c r="G37" s="22">
        <v>-100</v>
      </c>
      <c r="H37" s="59">
        <f>10000*RANK(D37,D$33:D$37)-N37</f>
        <v>10000</v>
      </c>
      <c r="I37" s="1">
        <f>100*RANK(E37,E$33:E$37)</f>
        <v>500</v>
      </c>
      <c r="J37" s="1">
        <f>10*RANK(F37,F$33:F$37)</f>
        <v>10</v>
      </c>
      <c r="K37" s="1">
        <f>4-COUNTIF(P$21:P$30,"A")</f>
        <v>0</v>
      </c>
      <c r="L37" s="1">
        <f>COUNTIF(P$21:P$30,I$2)</f>
        <v>0</v>
      </c>
      <c r="M37" s="1">
        <f>COUNTIF(P$21:P$30,J$2)</f>
        <v>0</v>
      </c>
      <c r="N37" s="1">
        <f>IF(A9&lt;&gt;"",500,0)</f>
        <v>0</v>
      </c>
      <c r="O37" s="39" t="str">
        <f>IF(A9&lt;&gt;"",UPPER(A9),"")</f>
        <v/>
      </c>
    </row>
    <row r="38" spans="1:54" hidden="1" outlineLevel="1">
      <c r="B38" s="48"/>
    </row>
    <row r="39" spans="1:54" hidden="1" outlineLevel="1">
      <c r="B39" s="48"/>
    </row>
    <row r="40" spans="1:54" ht="15" collapsed="1">
      <c r="B40" s="57"/>
      <c r="C40" s="14"/>
      <c r="D40" s="14"/>
      <c r="E40" s="14"/>
      <c r="F40" s="14"/>
      <c r="G40" s="14"/>
      <c r="I40" s="45">
        <f>I1</f>
        <v>3</v>
      </c>
      <c r="J40" s="45">
        <f>J1</f>
        <v>1</v>
      </c>
      <c r="AS40" s="40" t="str">
        <f>IF(AND(P10=12,SUM(AS5:AS7)&lt;&gt;6),"UEFA / Fairplay / Los !","")</f>
        <v/>
      </c>
    </row>
    <row r="41" spans="1:54" ht="15" thickBot="1">
      <c r="B41" s="48"/>
      <c r="F41" s="3"/>
      <c r="G41" s="3"/>
    </row>
    <row r="42" spans="1:54" ht="18">
      <c r="B42" s="47" t="s">
        <v>18</v>
      </c>
      <c r="C42" s="1">
        <v>1</v>
      </c>
      <c r="D42" s="46" t="str">
        <f>B44</f>
        <v>Spanien</v>
      </c>
      <c r="E42" s="46" t="str">
        <f>B45</f>
        <v>Holland</v>
      </c>
      <c r="F42" s="69"/>
      <c r="G42" s="70"/>
      <c r="H42" s="207">
        <v>41803.875</v>
      </c>
      <c r="I42" s="1">
        <f>IF(F42="",0,IF(F42=G42,J$40,IF(F42&gt;G42,I$40,0)))</f>
        <v>0</v>
      </c>
      <c r="J42" s="1">
        <f>IF(G42="",0,IF(F42=G42,J$40,IF(F42&lt;G42,I$40,0)))</f>
        <v>0</v>
      </c>
      <c r="N42" s="7"/>
      <c r="O42" s="8"/>
      <c r="P42" s="9" t="s">
        <v>1</v>
      </c>
      <c r="Q42" s="9" t="s">
        <v>2</v>
      </c>
      <c r="R42" s="10" t="s">
        <v>3</v>
      </c>
      <c r="S42" s="11" t="s">
        <v>4</v>
      </c>
      <c r="T42" s="12" t="s">
        <v>5</v>
      </c>
      <c r="U42" s="10" t="s">
        <v>6</v>
      </c>
      <c r="V42" s="9" t="s">
        <v>7</v>
      </c>
      <c r="W42" s="13" t="s">
        <v>8</v>
      </c>
      <c r="Y42" s="14"/>
      <c r="Z42"/>
      <c r="AA42"/>
      <c r="AB42" s="15" t="s">
        <v>9</v>
      </c>
      <c r="AF42"/>
      <c r="AG42"/>
      <c r="AS42" s="7"/>
      <c r="AT42" s="8"/>
      <c r="AU42" s="9" t="s">
        <v>1</v>
      </c>
      <c r="AV42" s="9" t="s">
        <v>2</v>
      </c>
      <c r="AW42" s="10" t="s">
        <v>3</v>
      </c>
      <c r="AX42" s="11" t="s">
        <v>4</v>
      </c>
      <c r="AY42" s="12" t="s">
        <v>5</v>
      </c>
      <c r="AZ42" s="64" t="s">
        <v>6</v>
      </c>
      <c r="BA42" s="64" t="s">
        <v>7</v>
      </c>
      <c r="BB42" s="65" t="s">
        <v>8</v>
      </c>
    </row>
    <row r="43" spans="1:54">
      <c r="B43" s="48"/>
      <c r="C43" s="1">
        <v>2</v>
      </c>
      <c r="D43" s="46" t="str">
        <f>B46</f>
        <v>Chile</v>
      </c>
      <c r="E43" s="46" t="str">
        <f>B47</f>
        <v>Australien</v>
      </c>
      <c r="F43" s="69"/>
      <c r="G43" s="70"/>
      <c r="H43" s="245">
        <v>41803</v>
      </c>
      <c r="I43" s="1">
        <f>IF(F43="",0,IF(F43=G43,J$40,IF(F43&gt;G43,I$40,0)))</f>
        <v>0</v>
      </c>
      <c r="J43" s="1">
        <f>IF(G43="",0,IF(F43=G43,J$40,IF(F43&lt;G43,I$40,0)))</f>
        <v>0</v>
      </c>
      <c r="N43" s="16"/>
      <c r="O43" s="17"/>
      <c r="P43" s="14"/>
      <c r="Q43" s="17"/>
      <c r="R43" s="18"/>
      <c r="S43" s="18"/>
      <c r="T43" s="19"/>
      <c r="W43" s="20"/>
      <c r="Y43" s="14"/>
      <c r="Z43"/>
      <c r="AA43"/>
      <c r="AF43"/>
      <c r="AG43"/>
      <c r="AH43" s="21" t="s">
        <v>10</v>
      </c>
      <c r="AN43" s="21" t="s">
        <v>11</v>
      </c>
      <c r="AS43" s="16"/>
      <c r="AT43" s="17"/>
      <c r="AU43" s="14"/>
      <c r="AV43" s="17"/>
      <c r="AW43" s="18"/>
      <c r="AX43" s="18"/>
      <c r="AY43" s="19"/>
      <c r="BB43" s="66"/>
    </row>
    <row r="44" spans="1:54" ht="15">
      <c r="A44" s="71"/>
      <c r="B44" s="72" t="s">
        <v>51</v>
      </c>
      <c r="C44" s="1">
        <v>3</v>
      </c>
      <c r="D44" s="46" t="str">
        <f>B44</f>
        <v>Spanien</v>
      </c>
      <c r="E44" s="46" t="str">
        <f>B46</f>
        <v>Chile</v>
      </c>
      <c r="F44" s="69"/>
      <c r="G44" s="70"/>
      <c r="H44" s="245">
        <v>41808</v>
      </c>
      <c r="I44" s="1">
        <f>IF(F53="",0,IF(F53=G53,J$40,IF(F53&gt;G53,I$40,0)))</f>
        <v>0</v>
      </c>
      <c r="J44" s="1">
        <f>IF(G53="",0,IF(F53=G53,J$40,IF(F53&lt;G53,I$40,0)))</f>
        <v>0</v>
      </c>
      <c r="K44" s="1">
        <v>1</v>
      </c>
      <c r="L44" s="1">
        <f>IF(OR(Q$44+Q$45+Q$46=3*Q$44,Q$47+Q$45+Q$46=3*Q$47,AE44+AK44+AQ44=0),K44,AE44+AK44+AQ44)</f>
        <v>1</v>
      </c>
      <c r="M44" s="22">
        <f>INT(VLOOKUP($K44,$A$72:$G$76,2,0))</f>
        <v>10110</v>
      </c>
      <c r="N44" s="23">
        <f>1</f>
        <v>1</v>
      </c>
      <c r="O44" s="24" t="str">
        <f>VLOOKUP($K44,$A$72:$G$76,3,0)</f>
        <v>Spanien</v>
      </c>
      <c r="P44" s="22">
        <f>VLOOKUP($K44,$A$72:$K$76,11,0)</f>
        <v>0</v>
      </c>
      <c r="Q44" s="25">
        <f>VLOOKUP($K44,$A$72:$G$76,4,0)</f>
        <v>0</v>
      </c>
      <c r="R44" s="18">
        <f>VLOOKUP($K44,$A$72:$G$76,5,0)</f>
        <v>0</v>
      </c>
      <c r="S44" s="18">
        <f>VLOOKUP($K44,$A$72:$G$76,6,0)</f>
        <v>0</v>
      </c>
      <c r="T44" s="19">
        <f>VLOOKUP($K44,$A$72:$G$76,7,0)</f>
        <v>0</v>
      </c>
      <c r="U44" s="14">
        <f>VLOOKUP($K44,$A$72:$M$76,12,0)</f>
        <v>0</v>
      </c>
      <c r="V44" s="1">
        <f>VLOOKUP($K44,$A$72:$M$76,13,0)</f>
        <v>0</v>
      </c>
      <c r="W44" s="20">
        <f>P44-U44-V44</f>
        <v>0</v>
      </c>
      <c r="X44" s="25" t="str">
        <f>VLOOKUP($K44,$A$72:$G$76,4,0)&amp;" "&amp;VLOOKUP($K44,$A$72:$P$76,15,0)</f>
        <v xml:space="preserve">0 </v>
      </c>
      <c r="Y44" s="1">
        <f>INT(VLOOKUP($K44,$A$72:$H$76,8,0))</f>
        <v>10000</v>
      </c>
      <c r="Z44" s="1">
        <f>IF(AND(Y$44=Y$45,OR(AND(D42=O$44,E42=O$45),AND(D42=O$45,E42=O$44))),1,0)</f>
        <v>1</v>
      </c>
      <c r="AA44" s="1" t="str">
        <f t="shared" ref="AA44:AA49" si="12">VLOOKUP($Z44,$C$42:$G$47,2,0)</f>
        <v>Spanien</v>
      </c>
      <c r="AB44" s="1" t="str">
        <f t="shared" ref="AB44:AB49" si="13">VLOOKUP($Z44,$C$42:$G$47,3,0)</f>
        <v>Holland</v>
      </c>
      <c r="AC44" s="1">
        <f t="shared" ref="AC44:AC49" si="14">VLOOKUP($Z44,$C$42:$G$47,4,0)</f>
        <v>0</v>
      </c>
      <c r="AD44" s="1">
        <f t="shared" ref="AD44:AD49" si="15">VLOOKUP($Z44,$C$42:$G$47,5,0)</f>
        <v>0</v>
      </c>
      <c r="AE44" s="1">
        <f>IF(ISERROR(AC51),0,IF(AC51=0,0,IF(OR(AND(AA51=O44,AC51&gt;0),AND(AB51=O44,AC51&lt;0)),1,2)))</f>
        <v>0</v>
      </c>
      <c r="AF44" s="1">
        <f>IF(AND($Y$45=$Y$46,OR(AND($D42=$O$45,$E42=$O$46),AND($D42=$O$46,$E42=$O$45))),1,0)</f>
        <v>0</v>
      </c>
      <c r="AG44" s="1" t="e">
        <f t="shared" ref="AG44:AG49" si="16">VLOOKUP($AF44,$C$42:$G$47,2,0)</f>
        <v>#N/A</v>
      </c>
      <c r="AH44" s="1" t="e">
        <f t="shared" ref="AH44:AH49" si="17">VLOOKUP($AF44,$C$42:$G$47,3,0)</f>
        <v>#N/A</v>
      </c>
      <c r="AI44" s="1" t="e">
        <f t="shared" ref="AI44:AI49" si="18">VLOOKUP($AF44,$C$42:$G$47,4,0)</f>
        <v>#N/A</v>
      </c>
      <c r="AJ44" s="1" t="e">
        <f t="shared" ref="AJ44:AJ49" si="19">VLOOKUP($AF44,$C$42:$G$47,5,0)</f>
        <v>#N/A</v>
      </c>
      <c r="AK44"/>
      <c r="AL44" s="1">
        <f>IF(AND($Y$46=$Y$47,OR(AND($D42=$O$46,$E42=$O$47),AND($D42=$O$47,$E42=$O$46))),1,0)</f>
        <v>0</v>
      </c>
      <c r="AM44" s="1" t="e">
        <f t="shared" ref="AM44:AM49" si="20">VLOOKUP($AL44,$C$42:$G$47,2,0)</f>
        <v>#N/A</v>
      </c>
      <c r="AN44" s="1" t="e">
        <f t="shared" ref="AN44:AN49" si="21">VLOOKUP($AL44,$C$42:$G$47,3,0)</f>
        <v>#N/A</v>
      </c>
      <c r="AO44" s="1" t="e">
        <f t="shared" ref="AO44:AO49" si="22">VLOOKUP($AL44,$C$42:$G$47,4,0)</f>
        <v>#N/A</v>
      </c>
      <c r="AP44" s="1" t="e">
        <f t="shared" ref="AP44:AP49" si="23">VLOOKUP($AL44,$C$42:$G$47,5,0)</f>
        <v>#N/A</v>
      </c>
      <c r="AS44" s="23">
        <v>1</v>
      </c>
      <c r="AT44" s="24" t="str">
        <f>VLOOKUP($K44,$L$44:$W$47,4,0)</f>
        <v>Spanien</v>
      </c>
      <c r="AU44" s="22">
        <f>VLOOKUP($K44,$L$44:$W$47,5,0)</f>
        <v>0</v>
      </c>
      <c r="AV44" s="25" t="str">
        <f>VLOOKUP($K44,$L$44:$X$47,13,0)</f>
        <v xml:space="preserve">0 </v>
      </c>
      <c r="AW44" s="18">
        <f>VLOOKUP($K44,$L$44:$W$47,7,0)</f>
        <v>0</v>
      </c>
      <c r="AX44" s="18">
        <f>VLOOKUP($K44,$L$44:$W$47,8,0)</f>
        <v>0</v>
      </c>
      <c r="AY44" s="19">
        <f>VLOOKUP($K44,$L$44:$W$47,9,0)</f>
        <v>0</v>
      </c>
      <c r="AZ44" s="51">
        <f>VLOOKUP($K44,$L$44:$W$47,10,0)</f>
        <v>0</v>
      </c>
      <c r="BA44" s="22">
        <f>VLOOKUP($K44,$L$44:$W$47,11,0)</f>
        <v>0</v>
      </c>
      <c r="BB44" s="66">
        <f>VLOOKUP($K44,$L$44:$W$47,12,0)</f>
        <v>0</v>
      </c>
    </row>
    <row r="45" spans="1:54" ht="15">
      <c r="A45" s="71"/>
      <c r="B45" s="72" t="s">
        <v>37</v>
      </c>
      <c r="C45" s="1">
        <v>4</v>
      </c>
      <c r="D45" s="46" t="str">
        <f>B45</f>
        <v>Holland</v>
      </c>
      <c r="E45" s="46" t="str">
        <f>B47</f>
        <v>Australien</v>
      </c>
      <c r="F45" s="69"/>
      <c r="G45" s="70"/>
      <c r="H45" s="246">
        <v>41808.75</v>
      </c>
      <c r="I45" s="1">
        <f>IF(F44="",0,IF(F44=G44,J$40,IF(F44&gt;G44,I$40,0)))</f>
        <v>0</v>
      </c>
      <c r="J45" s="1">
        <f>IF(G44="",0,IF(F44=G44,J$40,IF(F44&lt;G44,I$40,0)))</f>
        <v>0</v>
      </c>
      <c r="K45" s="1">
        <v>2</v>
      </c>
      <c r="L45" s="1">
        <f>IF(OR(Q$44+Q$45+Q$46=3*Q$44,Q$47+Q$45+Q$46=3*Q$47,AE45+AK45+AQ45=0),K45,AE45+AK45+AQ45)</f>
        <v>2</v>
      </c>
      <c r="M45" s="22">
        <f>INT(VLOOKUP($K45,$A$72:$G$76,2,0))</f>
        <v>10110</v>
      </c>
      <c r="N45" s="23" t="str">
        <f>IF(M45=M44,"",K45)</f>
        <v/>
      </c>
      <c r="O45" s="24" t="str">
        <f>VLOOKUP($K45,$A$72:$G$76,3,0)</f>
        <v>Holland</v>
      </c>
      <c r="P45" s="22">
        <f>VLOOKUP($K45,$A$72:$K$76,11,0)</f>
        <v>0</v>
      </c>
      <c r="Q45" s="25">
        <f>VLOOKUP($K45,$A$72:$G$76,4,0)</f>
        <v>0</v>
      </c>
      <c r="R45" s="18">
        <f>VLOOKUP($K45,$A$72:$G$76,5,0)</f>
        <v>0</v>
      </c>
      <c r="S45" s="18">
        <f>VLOOKUP($K45,$A$72:$G$76,6,0)</f>
        <v>0</v>
      </c>
      <c r="T45" s="19">
        <f>VLOOKUP($K45,$A$72:$G$76,7,0)</f>
        <v>0</v>
      </c>
      <c r="U45" s="14">
        <f>VLOOKUP($K45,$A$72:$M$76,12,0)</f>
        <v>0</v>
      </c>
      <c r="V45" s="1">
        <f>VLOOKUP($K45,$A$72:$M$76,13,0)</f>
        <v>0</v>
      </c>
      <c r="W45" s="20">
        <f>P45-U45-V45</f>
        <v>0</v>
      </c>
      <c r="X45" s="25" t="str">
        <f>VLOOKUP($K45,$A$72:$G$76,4,0)&amp;" "&amp;VLOOKUP($K45,$A$72:$P$76,15,0)</f>
        <v xml:space="preserve">0 </v>
      </c>
      <c r="Y45" s="1">
        <f>INT(VLOOKUP($K45,$A$72:$H$76,8,0))</f>
        <v>10000</v>
      </c>
      <c r="Z45" s="1">
        <f>IF(AND(Y$44=Y$45,OR(AND(D43=O$44,E43=O$45),AND(D43=O$45,E43=O$44))),2,0)</f>
        <v>0</v>
      </c>
      <c r="AA45" s="1" t="e">
        <f t="shared" si="12"/>
        <v>#N/A</v>
      </c>
      <c r="AB45" s="1" t="e">
        <f t="shared" si="13"/>
        <v>#N/A</v>
      </c>
      <c r="AC45" s="1" t="e">
        <f t="shared" si="14"/>
        <v>#N/A</v>
      </c>
      <c r="AD45" s="1" t="e">
        <f t="shared" si="15"/>
        <v>#N/A</v>
      </c>
      <c r="AE45" s="1">
        <f>IF(AE44=2,1,IF(AE44=1,2,0))</f>
        <v>0</v>
      </c>
      <c r="AF45" s="1">
        <f>IF(AND(Y$45=Y$46,OR(AND(D43=O$45,E43=O$46),AND(D43=O$46,E43=O$45))),2,0)</f>
        <v>0</v>
      </c>
      <c r="AG45" s="1" t="e">
        <f t="shared" si="16"/>
        <v>#N/A</v>
      </c>
      <c r="AH45" s="1" t="e">
        <f t="shared" si="17"/>
        <v>#N/A</v>
      </c>
      <c r="AI45" s="1" t="e">
        <f t="shared" si="18"/>
        <v>#N/A</v>
      </c>
      <c r="AJ45" s="1" t="e">
        <f t="shared" si="19"/>
        <v>#N/A</v>
      </c>
      <c r="AK45" s="1">
        <f>IF(ISERROR(AI51),0,IF(AI51=0,0,IF(OR(AND(AG51=O45,AI51&gt;0),AND(AH51=O45,AI51&lt;0)),2,3)))</f>
        <v>0</v>
      </c>
      <c r="AL45" s="1">
        <f>IF(AND($Y$46=$Y$47,OR(AND($D43=$O$46,$E43=$O$47),AND($D43=$O$47,$E43=$O$46))),2,0)</f>
        <v>2</v>
      </c>
      <c r="AM45" s="1" t="str">
        <f t="shared" si="20"/>
        <v>Chile</v>
      </c>
      <c r="AN45" s="1" t="str">
        <f t="shared" si="21"/>
        <v>Australien</v>
      </c>
      <c r="AO45" s="1">
        <f t="shared" si="22"/>
        <v>0</v>
      </c>
      <c r="AP45" s="1">
        <f t="shared" si="23"/>
        <v>0</v>
      </c>
      <c r="AQ45"/>
      <c r="AR45"/>
      <c r="AS45" s="23" t="str">
        <f>IF(AND(OR(AR51=1,AE45+AK45+AQ45=0),M45=M44),"",2)</f>
        <v/>
      </c>
      <c r="AT45" s="24" t="str">
        <f>VLOOKUP($K45,$L$44:$W$47,4,0)</f>
        <v>Holland</v>
      </c>
      <c r="AU45" s="22">
        <f>VLOOKUP($K45,$L$44:$W$47,5,0)</f>
        <v>0</v>
      </c>
      <c r="AV45" s="25" t="str">
        <f>VLOOKUP($K45,$L$44:$X$47,13,0)</f>
        <v xml:space="preserve">0 </v>
      </c>
      <c r="AW45" s="18">
        <f>VLOOKUP($K45,$L$44:$W$47,7,0)</f>
        <v>0</v>
      </c>
      <c r="AX45" s="18">
        <f>VLOOKUP($K45,$L$44:$W$47,8,0)</f>
        <v>0</v>
      </c>
      <c r="AY45" s="19">
        <f>VLOOKUP($K45,$L$44:$W$47,9,0)</f>
        <v>0</v>
      </c>
      <c r="AZ45" s="51">
        <f>VLOOKUP($K45,$L$44:$W$47,10,0)</f>
        <v>0</v>
      </c>
      <c r="BA45" s="22">
        <f>VLOOKUP($K45,$L$44:$W$47,11,0)</f>
        <v>0</v>
      </c>
      <c r="BB45" s="66">
        <f>VLOOKUP($K45,$L$44:$W$47,12,0)</f>
        <v>0</v>
      </c>
    </row>
    <row r="46" spans="1:54" ht="15">
      <c r="A46" s="71"/>
      <c r="B46" s="72" t="s">
        <v>66</v>
      </c>
      <c r="C46" s="1">
        <v>5</v>
      </c>
      <c r="D46" s="46" t="str">
        <f>B44</f>
        <v>Spanien</v>
      </c>
      <c r="E46" s="46" t="str">
        <f>B47</f>
        <v>Australien</v>
      </c>
      <c r="F46" s="69"/>
      <c r="G46" s="70"/>
      <c r="H46" s="246">
        <v>41813.75</v>
      </c>
      <c r="I46" s="1">
        <f>IF(F54="",0,IF(F54=G54,J$40,IF(F54&gt;G54,I$40,0)))</f>
        <v>0</v>
      </c>
      <c r="J46" s="1">
        <f>IF(G54="",0,IF(F54=G54,J$40,IF(F54&lt;G54,I$40,0)))</f>
        <v>0</v>
      </c>
      <c r="K46" s="1">
        <v>3</v>
      </c>
      <c r="L46" s="1">
        <f>IF(OR(Q$44+Q$45+Q$46=3*Q$44,Q$47+Q$45+Q$46=3*Q$47,AE46+AK46+AQ46=0),K46,AE46+AK46+AQ46)</f>
        <v>3</v>
      </c>
      <c r="M46" s="22">
        <f>INT(VLOOKUP($K46,$A$72:$G$76,2,0))</f>
        <v>10110</v>
      </c>
      <c r="N46" s="23" t="str">
        <f>IF(M46=M45,"",K46)</f>
        <v/>
      </c>
      <c r="O46" s="24" t="str">
        <f>VLOOKUP($K46,$A$72:$G$76,3,0)</f>
        <v>Chile</v>
      </c>
      <c r="P46" s="22">
        <f>VLOOKUP($K46,$A$72:$K$76,11,0)</f>
        <v>0</v>
      </c>
      <c r="Q46" s="25">
        <f>VLOOKUP($K46,$A$72:$G$76,4,0)</f>
        <v>0</v>
      </c>
      <c r="R46" s="18">
        <f>VLOOKUP($K46,$A$72:$G$76,5,0)</f>
        <v>0</v>
      </c>
      <c r="S46" s="18">
        <f>VLOOKUP($K46,$A$72:$G$76,6,0)</f>
        <v>0</v>
      </c>
      <c r="T46" s="19">
        <f>VLOOKUP($K46,$A$72:$G$76,7,0)</f>
        <v>0</v>
      </c>
      <c r="U46" s="14">
        <f>VLOOKUP($K46,$A$72:$M$76,12,0)</f>
        <v>0</v>
      </c>
      <c r="V46" s="1">
        <f>VLOOKUP($K46,$A$72:$M$76,13,0)</f>
        <v>0</v>
      </c>
      <c r="W46" s="20">
        <f>P46-U46-V46</f>
        <v>0</v>
      </c>
      <c r="X46" s="25" t="str">
        <f>VLOOKUP($K46,$A$72:$G$76,4,0)&amp;" "&amp;VLOOKUP($K46,$A$72:$P$76,15,0)</f>
        <v xml:space="preserve">0 </v>
      </c>
      <c r="Y46" s="1">
        <f>INT(VLOOKUP($K46,$A$72:$H$76,8,0))</f>
        <v>10000</v>
      </c>
      <c r="Z46" s="1">
        <f>IF(AND(Y$44=Y$45,OR(AND(D44=O$44,E44=O$45),AND(D44=O$45,E44=O$44))),3,0)</f>
        <v>0</v>
      </c>
      <c r="AA46" s="1" t="e">
        <f t="shared" si="12"/>
        <v>#N/A</v>
      </c>
      <c r="AB46" s="1" t="e">
        <f t="shared" si="13"/>
        <v>#N/A</v>
      </c>
      <c r="AC46" s="1" t="e">
        <f t="shared" si="14"/>
        <v>#N/A</v>
      </c>
      <c r="AD46" s="1" t="e">
        <f t="shared" si="15"/>
        <v>#N/A</v>
      </c>
      <c r="AF46" s="1">
        <f>IF(AND(Y$45=Y$46,OR(AND(D44=O$45,E44=O$46),AND(D44=O$46,E44=O$45))),3,0)</f>
        <v>0</v>
      </c>
      <c r="AG46" s="1" t="e">
        <f t="shared" si="16"/>
        <v>#N/A</v>
      </c>
      <c r="AH46" s="1" t="e">
        <f t="shared" si="17"/>
        <v>#N/A</v>
      </c>
      <c r="AI46" s="1" t="e">
        <f t="shared" si="18"/>
        <v>#N/A</v>
      </c>
      <c r="AJ46" s="1" t="e">
        <f t="shared" si="19"/>
        <v>#N/A</v>
      </c>
      <c r="AK46" s="1">
        <f>IF(AK45=3,2,IF(AK45=2,3,0))</f>
        <v>0</v>
      </c>
      <c r="AL46" s="1">
        <f>IF(AND($Y$46=$Y$47,OR(AND($D44=$O$46,$E44=$O$47),AND($D44=$O$47,$E44=$O$46))),3,0)</f>
        <v>0</v>
      </c>
      <c r="AM46" s="1" t="e">
        <f t="shared" si="20"/>
        <v>#N/A</v>
      </c>
      <c r="AN46" s="1" t="e">
        <f t="shared" si="21"/>
        <v>#N/A</v>
      </c>
      <c r="AO46" s="1" t="e">
        <f t="shared" si="22"/>
        <v>#N/A</v>
      </c>
      <c r="AP46" s="1" t="e">
        <f t="shared" si="23"/>
        <v>#N/A</v>
      </c>
      <c r="AQ46" s="1">
        <f>IF(ISERROR(AO51),0,IF(AO51=0,0,IF(OR(AND(AM51=O46,AO51&gt;0),AND(AN51=O46,AO51&lt;0)),3,4)))</f>
        <v>0</v>
      </c>
      <c r="AS46" s="23" t="str">
        <f>IF(AND(OR(AR52=1,AE46+AK46+AQ46=0),M46=M45),"",3)</f>
        <v/>
      </c>
      <c r="AT46" s="24" t="str">
        <f>VLOOKUP($K46,$L$44:$W$47,4,0)</f>
        <v>Chile</v>
      </c>
      <c r="AU46" s="22">
        <f>VLOOKUP($K46,$L$44:$W$47,5,0)</f>
        <v>0</v>
      </c>
      <c r="AV46" s="25" t="str">
        <f>VLOOKUP($K46,$L$44:$X$47,13,0)</f>
        <v xml:space="preserve">0 </v>
      </c>
      <c r="AW46" s="18">
        <f>VLOOKUP($K46,$L$44:$W$47,7,0)</f>
        <v>0</v>
      </c>
      <c r="AX46" s="18">
        <f>VLOOKUP($K46,$L$44:$W$47,8,0)</f>
        <v>0</v>
      </c>
      <c r="AY46" s="19">
        <f>VLOOKUP($K46,$L$44:$W$47,9,0)</f>
        <v>0</v>
      </c>
      <c r="AZ46" s="51">
        <f>VLOOKUP($K46,$L$44:$W$47,10,0)</f>
        <v>0</v>
      </c>
      <c r="BA46" s="22">
        <f>VLOOKUP($K46,$L$44:$W$47,11,0)</f>
        <v>0</v>
      </c>
      <c r="BB46" s="66">
        <f>VLOOKUP($K46,$L$44:$W$47,12,0)</f>
        <v>0</v>
      </c>
    </row>
    <row r="47" spans="1:54" ht="15.75" thickBot="1">
      <c r="A47" s="71"/>
      <c r="B47" s="72" t="s">
        <v>46</v>
      </c>
      <c r="C47" s="1">
        <v>6</v>
      </c>
      <c r="D47" s="46" t="str">
        <f>B45</f>
        <v>Holland</v>
      </c>
      <c r="E47" s="46" t="str">
        <f>B46</f>
        <v>Chile</v>
      </c>
      <c r="F47" s="69"/>
      <c r="G47" s="70"/>
      <c r="H47" s="246">
        <v>41813.75</v>
      </c>
      <c r="I47" s="1">
        <f>IF(F45="",0,IF(F45=G45,J$40,IF(F45&gt;G45,I$40,0)))</f>
        <v>0</v>
      </c>
      <c r="J47" s="1">
        <f>IF(G45="",0,IF(F45=G45,J$40,IF(F45&lt;G45,I$40,0)))</f>
        <v>0</v>
      </c>
      <c r="K47" s="1">
        <v>4</v>
      </c>
      <c r="L47" s="1">
        <f>IF(OR(Q$44+Q$45+Q$46=3*Q$44,Q$47+Q$45+Q$46=3*Q$47,AE47+AK47+AQ47=0),K47,AE47+AK47+AQ47)</f>
        <v>4</v>
      </c>
      <c r="M47" s="22">
        <f>INT(VLOOKUP($K47,$A$72:$G$76,2,0))</f>
        <v>10110</v>
      </c>
      <c r="N47" s="26" t="str">
        <f>IF(M47=M46,"",K47)</f>
        <v/>
      </c>
      <c r="O47" s="27" t="str">
        <f>VLOOKUP($K47,$A$72:$G$76,3,0)</f>
        <v>Australien</v>
      </c>
      <c r="P47" s="28">
        <f>VLOOKUP($K47,$A$72:$K$76,11,0)</f>
        <v>0</v>
      </c>
      <c r="Q47" s="25">
        <f>VLOOKUP($K47,$A$72:$G$76,4,0)</f>
        <v>0</v>
      </c>
      <c r="R47" s="30">
        <f>VLOOKUP($K47,$A$72:$G$76,5,0)</f>
        <v>0</v>
      </c>
      <c r="S47" s="30">
        <f>VLOOKUP($K47,$A$72:$G$76,6,0)</f>
        <v>0</v>
      </c>
      <c r="T47" s="31">
        <f>VLOOKUP($K47,$A$72:$G$76,7,0)</f>
        <v>0</v>
      </c>
      <c r="U47" s="32">
        <f>VLOOKUP($K47,$A$72:$M$76,12,0)</f>
        <v>0</v>
      </c>
      <c r="V47" s="33">
        <f>VLOOKUP($K47,$A$72:$M$76,13,0)</f>
        <v>0</v>
      </c>
      <c r="W47" s="34">
        <f>P47-U47-V47</f>
        <v>0</v>
      </c>
      <c r="X47" s="25" t="str">
        <f>VLOOKUP($K47,$A$72:$G$76,4,0)&amp;" "&amp;VLOOKUP($K47,$A$72:$P$76,15,0)</f>
        <v xml:space="preserve">0 </v>
      </c>
      <c r="Y47" s="1">
        <f>INT(VLOOKUP($K47,$A$72:$H$76,8,0))</f>
        <v>10000</v>
      </c>
      <c r="Z47" s="1">
        <f>IF(AND(Y$44=Y$45,OR(AND(D45=O$44,E45=O$45),AND(D45=O$45,E45=O$44))),4,0)</f>
        <v>0</v>
      </c>
      <c r="AA47" s="1" t="e">
        <f t="shared" si="12"/>
        <v>#N/A</v>
      </c>
      <c r="AB47" s="1" t="e">
        <f t="shared" si="13"/>
        <v>#N/A</v>
      </c>
      <c r="AC47" s="1" t="e">
        <f t="shared" si="14"/>
        <v>#N/A</v>
      </c>
      <c r="AD47" s="1" t="e">
        <f t="shared" si="15"/>
        <v>#N/A</v>
      </c>
      <c r="AF47" s="1">
        <f>IF(AND(Y$45=Y$46,OR(AND(D45=O$45,E45=O$46),AND(D45=O$46,E45=O$45))),4,0)</f>
        <v>0</v>
      </c>
      <c r="AG47" s="1" t="e">
        <f t="shared" si="16"/>
        <v>#N/A</v>
      </c>
      <c r="AH47" s="1" t="e">
        <f t="shared" si="17"/>
        <v>#N/A</v>
      </c>
      <c r="AI47" s="1" t="e">
        <f t="shared" si="18"/>
        <v>#N/A</v>
      </c>
      <c r="AJ47" s="1" t="e">
        <f t="shared" si="19"/>
        <v>#N/A</v>
      </c>
      <c r="AL47" s="1">
        <f>IF(AND($Y$46=$Y$47,OR(AND($D45=$O$46,$E45=$O$47),AND($D45=$O$47,$E45=$O$46))),4,0)</f>
        <v>0</v>
      </c>
      <c r="AM47" s="1" t="e">
        <f t="shared" si="20"/>
        <v>#N/A</v>
      </c>
      <c r="AN47" s="1" t="e">
        <f t="shared" si="21"/>
        <v>#N/A</v>
      </c>
      <c r="AO47" s="1" t="e">
        <f t="shared" si="22"/>
        <v>#N/A</v>
      </c>
      <c r="AP47" s="1" t="e">
        <f t="shared" si="23"/>
        <v>#N/A</v>
      </c>
      <c r="AQ47" s="1">
        <f>IF(AQ46=4,3,IF(AQ46=3,4,0))</f>
        <v>0</v>
      </c>
      <c r="AS47" s="26" t="str">
        <f>IF(AND(OR(AR53=1,AE47+AK47+AQ47=0),M47=M46),"",4)</f>
        <v/>
      </c>
      <c r="AT47" s="27" t="str">
        <f>VLOOKUP($K47,$L$44:$W$47,4,0)</f>
        <v>Australien</v>
      </c>
      <c r="AU47" s="35">
        <f>VLOOKUP($K47,$L$44:$W$47,5,0)</f>
        <v>0</v>
      </c>
      <c r="AV47" s="29" t="str">
        <f>VLOOKUP($K47,$L$44:$X$47,13,0)</f>
        <v xml:space="preserve">0 </v>
      </c>
      <c r="AW47" s="30">
        <f>VLOOKUP($K47,$L$44:$W$47,7,0)</f>
        <v>0</v>
      </c>
      <c r="AX47" s="30">
        <f>VLOOKUP($K47,$L$44:$W$47,8,0)</f>
        <v>0</v>
      </c>
      <c r="AY47" s="31">
        <f>VLOOKUP($K47,$L$44:$W$47,9,0)</f>
        <v>0</v>
      </c>
      <c r="AZ47" s="67">
        <f>VLOOKUP($K47,$L$44:$W$47,10,0)</f>
        <v>0</v>
      </c>
      <c r="BA47" s="35">
        <f>VLOOKUP($K47,$L$44:$W$47,11,0)</f>
        <v>0</v>
      </c>
      <c r="BB47" s="68">
        <f>VLOOKUP($K47,$L$44:$W$47,12,0)</f>
        <v>0</v>
      </c>
    </row>
    <row r="48" spans="1:54" ht="15">
      <c r="B48" s="48"/>
      <c r="D48" s="14"/>
      <c r="E48" s="14"/>
      <c r="F48" s="14"/>
      <c r="G48" s="14"/>
      <c r="I48" s="1">
        <f>IF(F46="",0,IF(F46=G46,J$40,IF(F46&gt;G46,I$40,0)))</f>
        <v>0</v>
      </c>
      <c r="J48" s="1">
        <f>IF(G46="",0,IF(F46=G46,J$40,IF(F46&lt;G46,I$40,0)))</f>
        <v>0</v>
      </c>
      <c r="K48" s="1">
        <v>5</v>
      </c>
      <c r="M48" s="22">
        <f>INT(VLOOKUP($K48,$A$72:$G$76,2,0))</f>
        <v>10510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Z48" s="1">
        <f>IF(AND(Y$44=Y$45,OR(AND(D46=O$44,E46=O$45),AND(D46=O$45,E46=O$44))),5,0)</f>
        <v>0</v>
      </c>
      <c r="AA48" s="1" t="e">
        <f t="shared" si="12"/>
        <v>#N/A</v>
      </c>
      <c r="AB48" s="1" t="e">
        <f t="shared" si="13"/>
        <v>#N/A</v>
      </c>
      <c r="AC48" s="1" t="e">
        <f t="shared" si="14"/>
        <v>#N/A</v>
      </c>
      <c r="AD48" s="1" t="e">
        <f t="shared" si="15"/>
        <v>#N/A</v>
      </c>
      <c r="AF48" s="1">
        <f>IF(AND(Y$45=Y$46,OR(AND(D46=O$45,E46=O$46),AND(D46=O$46,E46=O$45))),5,0)</f>
        <v>0</v>
      </c>
      <c r="AG48" s="1" t="e">
        <f t="shared" si="16"/>
        <v>#N/A</v>
      </c>
      <c r="AH48" s="1" t="e">
        <f t="shared" si="17"/>
        <v>#N/A</v>
      </c>
      <c r="AI48" s="1" t="e">
        <f t="shared" si="18"/>
        <v>#N/A</v>
      </c>
      <c r="AJ48" s="1" t="e">
        <f t="shared" si="19"/>
        <v>#N/A</v>
      </c>
      <c r="AL48" s="1">
        <f>IF(AND($Y$46=$Y$47,OR(AND($D46=$O$46,$E46=$O$47),AND($D46=$O$47,$E46=$O$46))),5,0)</f>
        <v>0</v>
      </c>
      <c r="AM48" s="1" t="e">
        <f t="shared" si="20"/>
        <v>#N/A</v>
      </c>
      <c r="AN48" s="1" t="e">
        <f t="shared" si="21"/>
        <v>#N/A</v>
      </c>
      <c r="AO48" s="1" t="e">
        <f t="shared" si="22"/>
        <v>#N/A</v>
      </c>
      <c r="AP48" s="1" t="e">
        <f t="shared" si="23"/>
        <v>#N/A</v>
      </c>
      <c r="AS48" s="40" t="str">
        <f>IF(AND(P49=12,SUM(AS44:AS46)&lt;&gt;6),"UEFA / Fairplay / Los !","")</f>
        <v/>
      </c>
      <c r="AT48" s="24"/>
      <c r="AU48" s="22"/>
      <c r="AV48" s="25"/>
      <c r="AW48" s="18"/>
    </row>
    <row r="49" spans="2:44" hidden="1" outlineLevel="1">
      <c r="B49" s="48"/>
      <c r="D49" s="14"/>
      <c r="E49" s="14"/>
      <c r="F49" s="14"/>
      <c r="G49" s="14"/>
      <c r="I49" s="1">
        <f>IF(F55="",0,IF(F55=G55,J$40,IF(F55&gt;G55,I$40,0)))</f>
        <v>0</v>
      </c>
      <c r="J49" s="1">
        <f>IF(G55="",0,IF(F55=G55,J$40,IF(F55&lt;G55,I$40,0)))</f>
        <v>0</v>
      </c>
      <c r="P49" s="1">
        <f>SUM(P44:P48)</f>
        <v>0</v>
      </c>
      <c r="Z49" s="1">
        <f>IF(AND(Y$44=Y$45,OR(AND(D47=O$44,E47=O$45),AND(D47=O$45,E47=O$44))),6,0)</f>
        <v>0</v>
      </c>
      <c r="AA49" s="1" t="e">
        <f t="shared" si="12"/>
        <v>#N/A</v>
      </c>
      <c r="AB49" s="1" t="e">
        <f t="shared" si="13"/>
        <v>#N/A</v>
      </c>
      <c r="AC49" s="1" t="e">
        <f t="shared" si="14"/>
        <v>#N/A</v>
      </c>
      <c r="AD49" s="1" t="e">
        <f t="shared" si="15"/>
        <v>#N/A</v>
      </c>
      <c r="AF49" s="1">
        <f>IF(AND(Y$45=Y$46,OR(AND(D47=O$45,E47=O$46),AND(D47=O$46,E47=O$45))),6,0)</f>
        <v>6</v>
      </c>
      <c r="AG49" s="1" t="str">
        <f t="shared" si="16"/>
        <v>Holland</v>
      </c>
      <c r="AH49" s="1" t="str">
        <f t="shared" si="17"/>
        <v>Chile</v>
      </c>
      <c r="AI49" s="1">
        <f t="shared" si="18"/>
        <v>0</v>
      </c>
      <c r="AJ49" s="1">
        <f t="shared" si="19"/>
        <v>0</v>
      </c>
      <c r="AL49" s="1">
        <f>IF(AND($Y$46=$Y$47,OR(AND($D47=$O$46,$E47=$O$47),AND($D47=$O$47,$E47=$O$46))),6,0)</f>
        <v>0</v>
      </c>
      <c r="AM49" s="1" t="e">
        <f t="shared" si="20"/>
        <v>#N/A</v>
      </c>
      <c r="AN49" s="1" t="e">
        <f t="shared" si="21"/>
        <v>#N/A</v>
      </c>
      <c r="AO49" s="1" t="e">
        <f t="shared" si="22"/>
        <v>#N/A</v>
      </c>
      <c r="AP49" s="1" t="e">
        <f t="shared" si="23"/>
        <v>#N/A</v>
      </c>
      <c r="AR49" s="1">
        <f>IF(ISERROR(AC51),0,1)+IF(ISERROR(AI51),0,1)</f>
        <v>2</v>
      </c>
    </row>
    <row r="50" spans="2:44" hidden="1" outlineLevel="1">
      <c r="B50" s="48"/>
      <c r="D50" s="14"/>
      <c r="E50" s="14"/>
      <c r="F50" s="14"/>
      <c r="G50" s="14"/>
      <c r="I50" s="1">
        <f>IF(F47="",0,IF(F47=G47,J$40,IF(F47&gt;G47,I$40,0)))</f>
        <v>0</v>
      </c>
      <c r="J50" s="1">
        <f>IF(G47="",0,IF(F47=G47,J$40,IF(F47&lt;G47,I$40,0)))</f>
        <v>0</v>
      </c>
      <c r="AB50"/>
      <c r="AR50" s="1">
        <f>IF(ISERROR(AO51),0,1)+IF(ISERROR(AI51),0,1)</f>
        <v>2</v>
      </c>
    </row>
    <row r="51" spans="2:44" hidden="1" outlineLevel="1">
      <c r="B51" s="48"/>
      <c r="D51" s="14"/>
      <c r="E51" s="14"/>
      <c r="F51" s="14"/>
      <c r="G51" s="14"/>
      <c r="I51" s="1">
        <f>IF(F56="",0,IF(F56=G56,J$40,IF(F56&gt;G56,I$40,0)))</f>
        <v>0</v>
      </c>
      <c r="J51" s="1">
        <f>IF(G56="",0,IF(F56=G56,J$40,IF(F56&lt;G56,I$40,0)))</f>
        <v>0</v>
      </c>
      <c r="Z51" s="1">
        <f>MAX(Z44:Z49)</f>
        <v>1</v>
      </c>
      <c r="AA51" s="1" t="str">
        <f>VLOOKUP(Z51,Z44:AD49,2,0)</f>
        <v>Spanien</v>
      </c>
      <c r="AB51" s="1" t="str">
        <f>VLOOKUP(Z51,Z44:AD49,3,0)</f>
        <v>Holland</v>
      </c>
      <c r="AC51" s="1">
        <f>VLOOKUP(Z51,Z44:AD49,4,0)-VLOOKUP(Z51,Z44:AD49,5,0)</f>
        <v>0</v>
      </c>
      <c r="AF51" s="1">
        <f>MAX(AF44:AF49)</f>
        <v>6</v>
      </c>
      <c r="AG51" s="1" t="str">
        <f>VLOOKUP(AF51,AF44:AJ49,2,0)</f>
        <v>Holland</v>
      </c>
      <c r="AH51" s="1" t="str">
        <f>VLOOKUP(AF51,AF44:AJ49,3,0)</f>
        <v>Chile</v>
      </c>
      <c r="AI51" s="1">
        <f>VLOOKUP(AF51,AF44:AJ49,4,0)-VLOOKUP(AF51,AF44:AJ49,5,0)</f>
        <v>0</v>
      </c>
      <c r="AL51" s="1">
        <f>MAX(AL44:AL49)</f>
        <v>2</v>
      </c>
      <c r="AM51" s="1" t="str">
        <f>VLOOKUP(AL51,AL44:AP49,2,0)</f>
        <v>Chile</v>
      </c>
      <c r="AN51" s="1" t="str">
        <f>VLOOKUP(AL51,AL44:AP49,3,0)</f>
        <v>Australien</v>
      </c>
      <c r="AO51" s="1">
        <f>VLOOKUP(AL51,AL44:AP49,4,0)-VLOOKUP(AL51,AL44:AP49,5,0)</f>
        <v>0</v>
      </c>
      <c r="AR51" s="1">
        <f>IF(OR(AR49=2,AR50=2),1,0)</f>
        <v>1</v>
      </c>
    </row>
    <row r="52" spans="2:44" hidden="1" outlineLevel="1">
      <c r="B52" s="48"/>
    </row>
    <row r="53" spans="2:44" ht="15.75" hidden="1" outlineLevel="1" thickBot="1">
      <c r="B53" s="49" t="s">
        <v>12</v>
      </c>
      <c r="D53" s="3" t="str">
        <f>B$53</f>
        <v>#######</v>
      </c>
      <c r="E53" s="3" t="str">
        <f>B44</f>
        <v>Spanien</v>
      </c>
      <c r="F53" s="5"/>
      <c r="G53" s="6"/>
      <c r="N53" s="26">
        <f>IF(M48=M47,"",K48)</f>
        <v>5</v>
      </c>
      <c r="O53" s="27" t="str">
        <f>VLOOKUP($K48,$A$72:$G$76,3,0)</f>
        <v>#######</v>
      </c>
      <c r="P53" s="28">
        <f>VLOOKUP($K48,$A$72:$K$76,11,0)</f>
        <v>0</v>
      </c>
      <c r="Q53" s="29">
        <f>VLOOKUP($K48,$A$72:$G$76,4,0)</f>
        <v>0</v>
      </c>
      <c r="R53" s="30">
        <f>VLOOKUP($K48,$A$72:$G$76,5,0)</f>
        <v>-100</v>
      </c>
      <c r="S53" s="30">
        <f>VLOOKUP($K48,$A$72:$G$76,6,0)</f>
        <v>0</v>
      </c>
      <c r="T53" s="31">
        <f>VLOOKUP($K48,$A$72:$G$76,7,0)</f>
        <v>-100</v>
      </c>
      <c r="U53" s="32">
        <f>VLOOKUP($K48,$A$72:$M$76,12,0)</f>
        <v>0</v>
      </c>
      <c r="V53" s="33">
        <f>VLOOKUP($K48,$A$72:$M$76,13,0)</f>
        <v>0</v>
      </c>
      <c r="W53" s="34">
        <f>P53-U53-V53</f>
        <v>0</v>
      </c>
    </row>
    <row r="54" spans="2:44" hidden="1" outlineLevel="1">
      <c r="B54" s="48"/>
      <c r="D54" s="3" t="str">
        <f>B$47</f>
        <v>Australien</v>
      </c>
      <c r="E54" s="3" t="str">
        <f>B53</f>
        <v>#######</v>
      </c>
      <c r="F54" s="5"/>
      <c r="G54" s="6"/>
      <c r="AA54" s="5"/>
      <c r="AB54" s="6"/>
    </row>
    <row r="55" spans="2:44" hidden="1" outlineLevel="1">
      <c r="B55" s="48"/>
      <c r="D55" s="3" t="str">
        <f>B53</f>
        <v>#######</v>
      </c>
      <c r="E55" s="3" t="str">
        <f>B45</f>
        <v>Holland</v>
      </c>
      <c r="F55" s="5"/>
      <c r="G55" s="6"/>
      <c r="AA55" s="5"/>
      <c r="AB55" s="6"/>
    </row>
    <row r="56" spans="2:44" hidden="1" outlineLevel="1">
      <c r="B56" s="48"/>
      <c r="D56" s="3" t="str">
        <f>B46</f>
        <v>Chile</v>
      </c>
      <c r="E56" s="3" t="str">
        <f>B53</f>
        <v>#######</v>
      </c>
      <c r="F56" s="5"/>
      <c r="G56" s="6"/>
      <c r="AA56" s="5"/>
      <c r="AB56" s="6"/>
    </row>
    <row r="57" spans="2:44" hidden="1" outlineLevel="1">
      <c r="B57" s="48"/>
      <c r="AA57" s="5"/>
      <c r="AB57" s="6"/>
    </row>
    <row r="58" spans="2:44" hidden="1" outlineLevel="1">
      <c r="B58" s="48"/>
      <c r="D58" s="3" t="str">
        <f>B44</f>
        <v>Spanien</v>
      </c>
      <c r="G58" s="1" t="str">
        <f>B45</f>
        <v>Holland</v>
      </c>
      <c r="J58" s="1" t="str">
        <f>B46</f>
        <v>Chile</v>
      </c>
      <c r="M58" s="1" t="str">
        <f>B47</f>
        <v>Australien</v>
      </c>
      <c r="P58" s="1" t="str">
        <f>B53</f>
        <v>#######</v>
      </c>
      <c r="AA58" s="5"/>
      <c r="AB58" s="6"/>
    </row>
    <row r="59" spans="2:44" hidden="1" outlineLevel="1">
      <c r="B59" s="48"/>
      <c r="D59" s="3" t="s">
        <v>13</v>
      </c>
      <c r="E59" s="36" t="s">
        <v>4</v>
      </c>
      <c r="F59" s="21" t="s">
        <v>14</v>
      </c>
      <c r="G59" s="22" t="s">
        <v>13</v>
      </c>
      <c r="H59" s="60" t="s">
        <v>4</v>
      </c>
      <c r="I59" s="21" t="s">
        <v>14</v>
      </c>
      <c r="J59" s="22" t="s">
        <v>13</v>
      </c>
      <c r="K59" s="37" t="s">
        <v>4</v>
      </c>
      <c r="L59" s="21" t="s">
        <v>14</v>
      </c>
      <c r="M59" s="22" t="s">
        <v>13</v>
      </c>
      <c r="N59" s="37" t="s">
        <v>4</v>
      </c>
      <c r="O59" s="21" t="s">
        <v>14</v>
      </c>
      <c r="P59" s="22" t="s">
        <v>13</v>
      </c>
      <c r="Q59" s="37" t="s">
        <v>4</v>
      </c>
      <c r="R59" s="21" t="s">
        <v>14</v>
      </c>
      <c r="AA59" s="5"/>
      <c r="AB59" s="6"/>
    </row>
    <row r="60" spans="2:44" hidden="1" outlineLevel="1">
      <c r="B60" s="48"/>
      <c r="D60" s="3" t="str">
        <f>IF(AND(OR($D42=D$58,$E42=D$58),$F42=""),"A",IF($D42=D$58,$I42,0)+IF($E42=D$58,$J42,0))</f>
        <v>A</v>
      </c>
      <c r="E60" s="3">
        <f>IF($D42=D$58,$F42,0)+IF($E42=D$58,$G42,0)</f>
        <v>0</v>
      </c>
      <c r="F60" s="1">
        <f>IF($D42=D$58,-$G42,0)+IF($E42=D$58,-$F42,0)</f>
        <v>0</v>
      </c>
      <c r="G60" s="22" t="str">
        <f>IF(AND(OR($D42=G$58,$E42=G$58),$F42=""),"A",IF($D42=G$58,$I42,0)+IF($E42=G$58,$J42,0))</f>
        <v>A</v>
      </c>
      <c r="H60" s="59">
        <f>IF($D42=G$58,$F42,0)+IF($E42=G$58,$G42,0)</f>
        <v>0</v>
      </c>
      <c r="I60" s="1">
        <f>IF($D42=G$58,-$G42,0)+IF($E42=G$58,-$F42,0)</f>
        <v>0</v>
      </c>
      <c r="J60" s="22">
        <f>IF(AND(OR($D42=J$58,$E42=J$58),$F42=""),"A",IF($D42=J$58,$I42,0)+IF($E42=J$58,$J42,0))</f>
        <v>0</v>
      </c>
      <c r="K60" s="22">
        <f>IF($D42=J$58,$F42,0)+IF($E42=J$58,$G42,0)</f>
        <v>0</v>
      </c>
      <c r="L60" s="1">
        <f>IF($D42=J$58,-$G42,0)+IF($E42=J$58,-$F42,0)</f>
        <v>0</v>
      </c>
      <c r="M60" s="22">
        <f>IF(AND(OR($D42=M$58,$E42=M$58),$F42=""),"A",IF($D42=M$58,$I42,0)+IF($E42=M$58,$J42,0))</f>
        <v>0</v>
      </c>
      <c r="N60" s="22">
        <f>IF($D42=M$58,$F42,0)+IF($E42=M$58,$G42,0)</f>
        <v>0</v>
      </c>
      <c r="O60" s="1">
        <f>IF($D42=M$58,-$G42,0)+IF($E42=M$58,-$F42,0)</f>
        <v>0</v>
      </c>
      <c r="P60" s="22">
        <f>IF(AND(OR($D42=P$58,$E42=P$58),$F42=""),"A",IF($D42=P$58,$I42,0)+IF($E42=P$58,$J42,0))</f>
        <v>0</v>
      </c>
      <c r="Q60" s="22">
        <f>IF($D42=P$58,$F42,0)+IF($E42=P$58,$G42,0)</f>
        <v>0</v>
      </c>
      <c r="R60" s="1">
        <f>IF($D42=P$58,-$G42,0)+IF($E42=P$58,-$F42,0)</f>
        <v>0</v>
      </c>
    </row>
    <row r="61" spans="2:44" hidden="1" outlineLevel="1">
      <c r="B61" s="48"/>
      <c r="D61" s="3">
        <f>IF(AND(OR($D43=D$58,$E43=D$58),$F43=""),"A",IF($D43=D$58,$I43,0)+IF($E43=D$58,$J43,0))</f>
        <v>0</v>
      </c>
      <c r="E61" s="3">
        <f>IF($D43=$B$44,$F43,0)+IF($E43=$B$44,$G43,0)</f>
        <v>0</v>
      </c>
      <c r="F61" s="1">
        <f>IF($D43=$B$44,-$G43,0)+IF($E43=$B$44,-$F43,0)</f>
        <v>0</v>
      </c>
      <c r="G61" s="22">
        <f>IF(AND(OR($D43=G$58,$E43=G$58),$F43=""),"A",IF($D43=G$58,$I43,0)+IF($E43=G$58,$J43,0))</f>
        <v>0</v>
      </c>
      <c r="H61" s="59">
        <f>IF($D43=G$58,$F43,0)+IF($E43=G$58,$G43,0)</f>
        <v>0</v>
      </c>
      <c r="I61" s="1">
        <f>IF($D43=G$58,-$G43,0)+IF($E43=G$58,-$F43,0)</f>
        <v>0</v>
      </c>
      <c r="J61" s="22" t="str">
        <f>IF(AND(OR($D43=J$58,$E43=J$58),$F43=""),"A",IF($D43=J$58,$I43,0)+IF($E43=J$58,$J43,0))</f>
        <v>A</v>
      </c>
      <c r="K61" s="22">
        <f>IF($D43=J$58,$F43,0)+IF($E43=J$58,$G43,0)</f>
        <v>0</v>
      </c>
      <c r="L61" s="1">
        <f>IF($D43=J$58,-$G43,0)+IF($E43=J$58,-$F43,0)</f>
        <v>0</v>
      </c>
      <c r="M61" s="22" t="str">
        <f>IF(AND(OR($D43=M$58,$E43=M$58),$F43=""),"A",IF($D43=M$58,$I43,0)+IF($E43=M$58,$J43,0))</f>
        <v>A</v>
      </c>
      <c r="N61" s="22">
        <f>IF($D43=M$58,$F43,0)+IF($E43=M$58,$G43,0)</f>
        <v>0</v>
      </c>
      <c r="O61" s="1">
        <f>IF($D43=M$58,-$G43,0)+IF($E43=M$58,-$F43,0)</f>
        <v>0</v>
      </c>
      <c r="P61" s="22">
        <f>IF(AND(OR($D43=P$58,$E43=P$58),$F43=""),"A",IF($D43=P$58,$I43,0)+IF($E43=P$58,$J43,0))</f>
        <v>0</v>
      </c>
      <c r="Q61" s="22">
        <f>IF($D43=P$58,$F43,0)+IF($E43=P$58,$G43,0)</f>
        <v>0</v>
      </c>
      <c r="R61" s="1">
        <f>IF($D43=P$58,-$G43,0)+IF($E43=P$58,-$F43,0)</f>
        <v>0</v>
      </c>
    </row>
    <row r="62" spans="2:44" hidden="1" outlineLevel="1">
      <c r="B62" s="48"/>
      <c r="D62" s="3" t="str">
        <f>IF(AND(OR($D53=D$58,$E53=D$58),$F53=""),"A",IF($D53=D$58,$I44,0)+IF($E53=D$58,$J44,0))</f>
        <v>A</v>
      </c>
      <c r="E62" s="3">
        <f>IF($D53=$B$44,$F53,0)+IF($E53=$B$44,$G53,0)</f>
        <v>0</v>
      </c>
      <c r="F62" s="1">
        <f>IF($D53=$B$44,-$G53,0)+IF($E53=$B$44,-$F53,0)</f>
        <v>0</v>
      </c>
      <c r="G62" s="22">
        <f>IF(AND(OR($D53=G$58,$E53=G$58),$F53=""),"A",IF($D53=G$58,$I44,0)+IF($E53=G$58,$J44,0))</f>
        <v>0</v>
      </c>
      <c r="H62" s="59">
        <f>IF($D53=G$58,$F53,0)+IF($E53=G$58,$G53,0)</f>
        <v>0</v>
      </c>
      <c r="I62" s="1">
        <f>IF($D53=G$58,-$G53,0)+IF($E53=G$58,-$F53,0)</f>
        <v>0</v>
      </c>
      <c r="J62" s="22">
        <f>IF(AND(OR($D53=J$58,$E53=J$58),$F53=""),"A",IF($D53=J$58,$I44,0)+IF($E53=J$58,$J44,0))</f>
        <v>0</v>
      </c>
      <c r="K62" s="22">
        <f>IF($D53=J$58,$F53,0)+IF($E53=J$58,$G53,0)</f>
        <v>0</v>
      </c>
      <c r="L62" s="1">
        <f>IF($D53=J$58,-$G53,0)+IF($E53=J$58,-$F53,0)</f>
        <v>0</v>
      </c>
      <c r="M62" s="22">
        <f>IF(AND(OR($D53=M$58,$E53=M$58),$F53=""),"A",IF($D53=M$58,$I44,0)+IF($E53=M$58,$J44,0))</f>
        <v>0</v>
      </c>
      <c r="N62" s="22">
        <f>IF($D53=M$58,$F53,0)+IF($E53=M$58,$G53,0)</f>
        <v>0</v>
      </c>
      <c r="O62" s="1">
        <f>IF($D53=M$58,-$G53,0)+IF($E53=M$58,-$F53,0)</f>
        <v>0</v>
      </c>
      <c r="P62" s="22" t="str">
        <f>IF(AND(OR($D53=P$58,$E53=P$58),$F53=""),"A",IF($D53=P$58,$I44,0)+IF($E53=P$58,$J44,0))</f>
        <v>A</v>
      </c>
      <c r="Q62" s="22">
        <f>IF($D53=P$58,$F53,0)+IF($E53=P$58,$G53,0)</f>
        <v>0</v>
      </c>
      <c r="R62" s="1">
        <f>IF($D53=P$58,-$G53,0)+IF($E53=P$58,-$F53,0)</f>
        <v>0</v>
      </c>
    </row>
    <row r="63" spans="2:44" hidden="1" outlineLevel="1">
      <c r="B63" s="48"/>
      <c r="D63" s="3" t="str">
        <f>IF(AND(OR($D44=D$58,$E44=D$58),$F44=""),"A",IF($D44=D$58,$I45,0)+IF($E44=D$58,$J45,0))</f>
        <v>A</v>
      </c>
      <c r="E63" s="3">
        <f>IF($D44=$B$44,$F44,0)+IF($E44=$B$44,$G44,0)</f>
        <v>0</v>
      </c>
      <c r="F63" s="1">
        <f>IF($D44=$B$44,-$G44,0)+IF($E44=$B$44,-$F44,0)</f>
        <v>0</v>
      </c>
      <c r="G63" s="22">
        <f>IF(AND(OR($D44=G$58,$E44=G$58),$F44=""),"A",IF($D44=G$58,$I45,0)+IF($E44=G$58,$J45,0))</f>
        <v>0</v>
      </c>
      <c r="H63" s="59">
        <f>IF($D44=G$58,$F44,0)+IF($E44=G$58,$G44,0)</f>
        <v>0</v>
      </c>
      <c r="I63" s="1">
        <f>IF($D44=G$58,-$G44,0)+IF($E44=G$58,-$F44,0)</f>
        <v>0</v>
      </c>
      <c r="J63" s="22" t="str">
        <f>IF(AND(OR($D44=J$58,$E44=J$58),$F44=""),"A",IF($D44=J$58,$I45,0)+IF($E44=J$58,$J45,0))</f>
        <v>A</v>
      </c>
      <c r="K63" s="22">
        <f>IF($D44=J$58,$F44,0)+IF($E44=J$58,$G44,0)</f>
        <v>0</v>
      </c>
      <c r="L63" s="1">
        <f>IF($D44=J$58,-$G44,0)+IF($E44=J$58,-$F44,0)</f>
        <v>0</v>
      </c>
      <c r="M63" s="22">
        <f>IF(AND(OR($D44=M$58,$E44=M$58),$F44=""),"A",IF($D44=M$58,$I45,0)+IF($E44=M$58,$J45,0))</f>
        <v>0</v>
      </c>
      <c r="N63" s="22">
        <f>IF($D44=M$58,$F44,0)+IF($E44=M$58,$G44,0)</f>
        <v>0</v>
      </c>
      <c r="O63" s="1">
        <f>IF($D44=M$58,-$G44,0)+IF($E44=M$58,-$F44,0)</f>
        <v>0</v>
      </c>
      <c r="P63" s="22">
        <f>IF(AND(OR($D44=P$58,$E44=P$58),$F44=""),"A",IF($D44=P$58,$I45,0)+IF($E44=P$58,$J45,0))</f>
        <v>0</v>
      </c>
      <c r="Q63" s="22">
        <f>IF($D44=P$58,$F44,0)+IF($E44=P$58,$G44,0)</f>
        <v>0</v>
      </c>
      <c r="R63" s="1">
        <f>IF($D44=P$58,-$G44,0)+IF($E44=P$58,-$F44,0)</f>
        <v>0</v>
      </c>
    </row>
    <row r="64" spans="2:44" hidden="1" outlineLevel="1">
      <c r="B64" s="48"/>
      <c r="D64" s="3">
        <f>IF(AND(OR($D54=D$58,$E54=D$58),$F54=""),"A",IF($D54=D$58,$I46,0)+IF($E54=D$58,$J46,0))</f>
        <v>0</v>
      </c>
      <c r="E64" s="3">
        <f>IF($D54=$B$44,$F54,0)+IF($E54=$B$44,$G54,0)</f>
        <v>0</v>
      </c>
      <c r="F64" s="1">
        <f>IF($D54=$B$44,-$G54,0)+IF($E54=$B$44,-$F54,0)</f>
        <v>0</v>
      </c>
      <c r="G64" s="22">
        <f>IF(AND(OR($D54=G$58,$E54=G$58),$F54=""),"A",IF($D54=G$58,$I46,0)+IF($E54=G$58,$J46,0))</f>
        <v>0</v>
      </c>
      <c r="H64" s="59">
        <f>IF($D54=G$58,$F54,0)+IF($E54=G$58,$G54,0)</f>
        <v>0</v>
      </c>
      <c r="I64" s="1">
        <f>IF($D54=G$58,-$G54,0)+IF($E54=G$58,-$F54,0)</f>
        <v>0</v>
      </c>
      <c r="J64" s="22">
        <f>IF(AND(OR($D54=J$58,$E54=J$58),$F54=""),"A",IF($D54=J$58,$I46,0)+IF($E54=J$58,$J46,0))</f>
        <v>0</v>
      </c>
      <c r="K64" s="22">
        <f>IF($D54=J$58,$F54,0)+IF($E54=J$58,$G54,0)</f>
        <v>0</v>
      </c>
      <c r="L64" s="1">
        <f>IF($D54=J$58,-$G54,0)+IF($E54=J$58,-$F54,0)</f>
        <v>0</v>
      </c>
      <c r="M64" s="22" t="str">
        <f>IF(AND(OR($D54=M$58,$E54=M$58),$F54=""),"A",IF($D54=M$58,$I46,0)+IF($E54=M$58,$J46,0))</f>
        <v>A</v>
      </c>
      <c r="N64" s="22">
        <f>IF($D54=M$58,$F54,0)+IF($E54=M$58,$G54,0)</f>
        <v>0</v>
      </c>
      <c r="O64" s="1">
        <f>IF($D54=M$58,-$G54,0)+IF($E54=M$58,-$F54,0)</f>
        <v>0</v>
      </c>
      <c r="P64" s="22" t="str">
        <f>IF(AND(OR($D54=P$58,$E54=P$58),$F54=""),"A",IF($D54=P$58,$I46,0)+IF($E54=P$58,$J46,0))</f>
        <v>A</v>
      </c>
      <c r="Q64" s="22">
        <f>IF($D54=P$58,$F54,0)+IF($E54=P$58,$G54,0)</f>
        <v>0</v>
      </c>
      <c r="R64" s="1">
        <f>IF($D54=P$58,-$G54,0)+IF($E54=P$58,-$F54,0)</f>
        <v>0</v>
      </c>
    </row>
    <row r="65" spans="1:18" hidden="1" outlineLevel="1">
      <c r="B65" s="48"/>
      <c r="D65" s="3">
        <f>IF(AND(OR($D45=D$58,$E45=D$58),$F45=""),"A",IF($D45=D$58,$I47,0)+IF($E45=D$58,$J47,0))</f>
        <v>0</v>
      </c>
      <c r="E65" s="3">
        <f>IF($D45=$B$44,$F45,0)+IF($E45=$B$44,$G45,0)</f>
        <v>0</v>
      </c>
      <c r="F65" s="1">
        <f>IF($D45=$B$44,-$G45,0)+IF($E45=$B$44,-$F45,0)</f>
        <v>0</v>
      </c>
      <c r="G65" s="22" t="str">
        <f>IF(AND(OR($D45=G$58,$E45=G$58),$F45=""),"A",IF($D45=G$58,$I47,0)+IF($E45=G$58,$J47,0))</f>
        <v>A</v>
      </c>
      <c r="H65" s="59">
        <f>IF($D45=G$58,$F45,0)+IF($E45=G$58,$G45,0)</f>
        <v>0</v>
      </c>
      <c r="I65" s="1">
        <f>IF($D45=G$58,-$G45,0)+IF($E45=G$58,-$F45,0)</f>
        <v>0</v>
      </c>
      <c r="J65" s="22">
        <f>IF(AND(OR($D45=J$58,$E45=J$58),$F45=""),"A",IF($D45=J$58,$I47,0)+IF($E45=J$58,$J47,0))</f>
        <v>0</v>
      </c>
      <c r="K65" s="22">
        <f>IF($D45=J$58,$F45,0)+IF($E45=J$58,$G45,0)</f>
        <v>0</v>
      </c>
      <c r="L65" s="1">
        <f>IF($D45=J$58,-$G45,0)+IF($E45=J$58,-$F45,0)</f>
        <v>0</v>
      </c>
      <c r="M65" s="22" t="str">
        <f>IF(AND(OR($D45=M$58,$E45=M$58),$F45=""),"A",IF($D45=M$58,$I47,0)+IF($E45=M$58,$J47,0))</f>
        <v>A</v>
      </c>
      <c r="N65" s="22">
        <f>IF($D45=M$58,$F45,0)+IF($E45=M$58,$G45,0)</f>
        <v>0</v>
      </c>
      <c r="O65" s="1">
        <f>IF($D45=M$58,-$G45,0)+IF($E45=M$58,-$F45,0)</f>
        <v>0</v>
      </c>
      <c r="P65" s="22">
        <f>IF(AND(OR($D45=P$58,$E45=P$58),$F45=""),"A",IF($D45=P$58,$I47,0)+IF($E45=P$58,$J47,0))</f>
        <v>0</v>
      </c>
      <c r="Q65" s="22">
        <f>IF($D45=P$58,$F45,0)+IF($E45=P$58,$G45,0)</f>
        <v>0</v>
      </c>
      <c r="R65" s="1">
        <f>IF($D45=P$58,-$G45,0)+IF($E45=P$58,-$F45,0)</f>
        <v>0</v>
      </c>
    </row>
    <row r="66" spans="1:18" hidden="1" outlineLevel="1">
      <c r="B66" s="48"/>
      <c r="D66" s="3" t="str">
        <f>IF(AND(OR($D46=D$58,$E46=D$58),$F46=""),"A",IF($D46=D$58,$I48,0)+IF($E46=D$58,$J48,0))</f>
        <v>A</v>
      </c>
      <c r="E66" s="3">
        <f>IF($D46=$B$44,$F46,0)+IF($E46=$B$44,$G46,0)</f>
        <v>0</v>
      </c>
      <c r="F66" s="1">
        <f>IF($D46=$B$44,-$G46,0)+IF($E46=$B$44,-$F46,0)</f>
        <v>0</v>
      </c>
      <c r="G66" s="22">
        <f>IF(AND(OR($D46=G$58,$E46=G$58),$F46=""),"A",IF($D46=G$58,$I48,0)+IF($E46=G$58,$J48,0))</f>
        <v>0</v>
      </c>
      <c r="H66" s="59">
        <f>IF($D46=G$58,$F46,0)+IF($E46=G$58,$G46,0)</f>
        <v>0</v>
      </c>
      <c r="I66" s="1">
        <f>IF($D46=G$58,-$G46,0)+IF($E46=G$58,-$F46,0)</f>
        <v>0</v>
      </c>
      <c r="J66" s="22">
        <f>IF(AND(OR($D46=J$58,$E46=J$58),$F46=""),"A",IF($D46=J$58,$I48,0)+IF($E46=J$58,$J48,0))</f>
        <v>0</v>
      </c>
      <c r="K66" s="22">
        <f>IF($D46=J$58,$F46,0)+IF($E46=J$58,$G46,0)</f>
        <v>0</v>
      </c>
      <c r="L66" s="1">
        <f>IF($D46=J$58,-$G46,0)+IF($E46=J$58,-$F46,0)</f>
        <v>0</v>
      </c>
      <c r="M66" s="22" t="str">
        <f>IF(AND(OR($D46=M$58,$E46=M$58),$F46=""),"A",IF($D46=M$58,$I48,0)+IF($E46=M$58,$J48,0))</f>
        <v>A</v>
      </c>
      <c r="N66" s="22">
        <f>IF($D46=M$58,$F46,0)+IF($E46=M$58,$G46,0)</f>
        <v>0</v>
      </c>
      <c r="O66" s="1">
        <f>IF($D46=M$58,-$G46,0)+IF($E46=M$58,-$F46,0)</f>
        <v>0</v>
      </c>
      <c r="P66" s="22">
        <f>IF(AND(OR($D46=P$58,$E46=P$58),$F46=""),"A",IF($D46=P$58,$I48,0)+IF($E46=P$58,$J48,0))</f>
        <v>0</v>
      </c>
      <c r="Q66" s="22">
        <f>IF($D46=P$58,$F46,0)+IF($E46=P$58,$G46,0)</f>
        <v>0</v>
      </c>
      <c r="R66" s="1">
        <f>IF($D46=P$58,-$G46,0)+IF($E46=P$58,-$F46,0)</f>
        <v>0</v>
      </c>
    </row>
    <row r="67" spans="1:18" hidden="1" outlineLevel="1">
      <c r="B67" s="48"/>
      <c r="D67" s="3">
        <f>IF(AND(OR($D55=D$58,$E55=D$58),$F55=""),"A",IF($D55=D$58,$I49,0)+IF($E55=D$58,$J49,0))</f>
        <v>0</v>
      </c>
      <c r="E67" s="3">
        <f>IF($D55=$B$44,$F55,0)+IF($E55=$B$44,$G55,0)</f>
        <v>0</v>
      </c>
      <c r="F67" s="1">
        <f>IF($D55=$B$44,-$G55,0)+IF($E55=$B$44,-$F55,0)</f>
        <v>0</v>
      </c>
      <c r="G67" s="22" t="str">
        <f>IF(AND(OR($D55=G$58,$E55=G$58),$F55=""),"A",IF($D55=G$58,$I49,0)+IF($E55=G$58,$J49,0))</f>
        <v>A</v>
      </c>
      <c r="H67" s="59">
        <f>IF($D55=G$58,$F55,0)+IF($E55=G$58,$G55,0)</f>
        <v>0</v>
      </c>
      <c r="I67" s="1">
        <f>IF($D55=G$58,-$G55,0)+IF($E55=G$58,-$F55,0)</f>
        <v>0</v>
      </c>
      <c r="J67" s="22">
        <f>IF(AND(OR($D55=J$58,$E55=J$58),$F55=""),"A",IF($D55=J$58,$I49,0)+IF($E55=J$58,$J49,0))</f>
        <v>0</v>
      </c>
      <c r="K67" s="22">
        <f>IF($D55=J$58,$F55,0)+IF($E55=J$58,$G55,0)</f>
        <v>0</v>
      </c>
      <c r="L67" s="1">
        <f>IF($D55=J$58,-$G55,0)+IF($E55=J$58,-$F55,0)</f>
        <v>0</v>
      </c>
      <c r="M67" s="22">
        <f>IF(AND(OR($D55=M$58,$E55=M$58),$F55=""),"A",IF($D55=M$58,$I49,0)+IF($E55=M$58,$J49,0))</f>
        <v>0</v>
      </c>
      <c r="N67" s="22">
        <f>IF($D55=M$58,$F55,0)+IF($E55=M$58,$G55,0)</f>
        <v>0</v>
      </c>
      <c r="O67" s="1">
        <f>IF($D55=M$58,-$G55,0)+IF($E55=M$58,-$F55,0)</f>
        <v>0</v>
      </c>
      <c r="P67" s="22" t="str">
        <f>IF(AND(OR($D55=P$58,$E55=P$58),$F55=""),"A",IF($D55=P$58,$I49,0)+IF($E55=P$58,$J49,0))</f>
        <v>A</v>
      </c>
      <c r="Q67" s="22">
        <f>IF($D55=P$58,$F55,0)+IF($E55=P$58,$G55,0)</f>
        <v>0</v>
      </c>
      <c r="R67" s="1">
        <f>IF($D55=P$58,-$G55,0)+IF($E55=P$58,-$F55,0)</f>
        <v>0</v>
      </c>
    </row>
    <row r="68" spans="1:18" hidden="1" outlineLevel="1">
      <c r="B68" s="48"/>
      <c r="D68" s="3">
        <f>IF(AND(OR($D47=D$58,$E47=D$58),$F47=""),"A",IF($D47=D$58,$I50,0)+IF($E47=D$58,$J50,0))</f>
        <v>0</v>
      </c>
      <c r="E68" s="3">
        <f>IF($D47=$B$44,$F47,0)+IF($E47=$B$44,$G47,0)</f>
        <v>0</v>
      </c>
      <c r="F68" s="1">
        <f>IF($D47=$B$44,-$G47,0)+IF($E47=$B$44,-$F47,0)</f>
        <v>0</v>
      </c>
      <c r="G68" s="22" t="str">
        <f>IF(AND(OR($D47=G$58,$E47=G$58),$F47=""),"A",IF($D47=G$58,$I50,0)+IF($E47=G$58,$J50,0))</f>
        <v>A</v>
      </c>
      <c r="H68" s="59">
        <f>IF($D47=G$58,$F47,0)+IF($E47=G$58,$G47,0)</f>
        <v>0</v>
      </c>
      <c r="I68" s="1">
        <f>IF($D47=G$58,-$G47,0)+IF($E47=G$58,-$F47,0)</f>
        <v>0</v>
      </c>
      <c r="J68" s="22" t="str">
        <f>IF(AND(OR($D47=J$58,$E47=J$58),$F47=""),"A",IF($D47=J$58,$I50,0)+IF($E47=J$58,$J50,0))</f>
        <v>A</v>
      </c>
      <c r="K68" s="22">
        <f>IF($D47=J$58,$F47,0)+IF($E47=J$58,$G47,0)</f>
        <v>0</v>
      </c>
      <c r="L68" s="1">
        <f>IF($D47=J$58,-$G47,0)+IF($E47=J$58,-$F47,0)</f>
        <v>0</v>
      </c>
      <c r="M68" s="22">
        <f>IF(AND(OR($D47=M$58,$E47=M$58),$F47=""),"A",IF($D47=M$58,$I50,0)+IF($E47=M$58,$J50,0))</f>
        <v>0</v>
      </c>
      <c r="N68" s="22">
        <f>IF($D47=M$58,$F47,0)+IF($E47=M$58,$G47,0)</f>
        <v>0</v>
      </c>
      <c r="O68" s="1">
        <f>IF($D47=M$58,-$G47,0)+IF($E47=M$58,-$F47,0)</f>
        <v>0</v>
      </c>
      <c r="P68" s="22">
        <f>IF(AND(OR($D47=P$58,$E47=P$58),$F47=""),"A",IF($D47=P$58,$I50,0)+IF($E47=P$58,$J50,0))</f>
        <v>0</v>
      </c>
      <c r="Q68" s="22">
        <f>IF($D47=P$58,$F47,0)+IF($E47=P$58,$G47,0)</f>
        <v>0</v>
      </c>
      <c r="R68" s="1">
        <f>IF($D47=P$58,-$G47,0)+IF($E47=P$58,-$F47,0)</f>
        <v>0</v>
      </c>
    </row>
    <row r="69" spans="1:18" hidden="1" outlineLevel="1">
      <c r="B69" s="48"/>
      <c r="D69" s="3">
        <f>IF(AND(OR($D56=D$58,$E56=D$58),$F56=""),"A",IF($D56=D$58,$I51,0)+IF($E56=D$58,$J51,0))</f>
        <v>0</v>
      </c>
      <c r="E69" s="3">
        <f>IF($D56=$B$44,$F56,0)+IF($E56=$B$44,$G56,0)</f>
        <v>0</v>
      </c>
      <c r="F69" s="1">
        <f>IF($D56=$B$44,-$G56,0)+IF($E56=$B$44,-$F56,0)</f>
        <v>0</v>
      </c>
      <c r="G69" s="22">
        <f>IF(AND(OR($D56=G$58,$E56=G$58),$F56=""),"A",IF($D56=G$58,$I51,0)+IF($E56=G$58,$J51,0))</f>
        <v>0</v>
      </c>
      <c r="H69" s="59">
        <f>IF($D56=G$58,$F56,0)+IF($E56=G$58,$G56,0)</f>
        <v>0</v>
      </c>
      <c r="I69" s="1">
        <f>IF($D56=G$58,-$G56,0)+IF($E56=G$58,-$F56,0)</f>
        <v>0</v>
      </c>
      <c r="J69" s="22" t="str">
        <f>IF(AND(OR($D56=J$58,$E56=J$58),$F56=""),"A",IF($D56=J$58,$I51,0)+IF($E56=J$58,$J51,0))</f>
        <v>A</v>
      </c>
      <c r="K69" s="22">
        <f>IF($D56=J$58,$F56,0)+IF($E56=J$58,$G56,0)</f>
        <v>0</v>
      </c>
      <c r="L69" s="1">
        <f>IF($D56=J$58,-$G56,0)+IF($E56=J$58,-$F56,0)</f>
        <v>0</v>
      </c>
      <c r="M69" s="22">
        <f>IF(AND(OR($D56=M$58,$E56=M$58),$F56=""),"A",IF($D56=M$58,$I51,0)+IF($E56=M$58,$J51,0))</f>
        <v>0</v>
      </c>
      <c r="N69" s="22">
        <f>IF($D56=M$58,$F56,0)+IF($E56=M$58,$G56,0)</f>
        <v>0</v>
      </c>
      <c r="O69" s="1">
        <f>IF($D56=M$58,-$G56,0)+IF($E56=M$58,-$F56,0)</f>
        <v>0</v>
      </c>
      <c r="P69" s="22" t="str">
        <f>IF(AND(OR($D56=P$58,$E56=P$58),$F56=""),"A",IF($D56=P$58,$I51,0)+IF($E56=P$58,$J51,0))</f>
        <v>A</v>
      </c>
      <c r="Q69" s="22">
        <f>IF($D56=P$58,$F56,0)+IF($E56=P$58,$G56,0)</f>
        <v>0</v>
      </c>
      <c r="R69" s="1">
        <f>IF($D56=P$58,-$G56,0)+IF($E56=P$58,-$F56,0)</f>
        <v>0</v>
      </c>
    </row>
    <row r="70" spans="1:18" hidden="1" outlineLevel="1">
      <c r="B70" s="48"/>
    </row>
    <row r="71" spans="1:18" hidden="1" outlineLevel="1">
      <c r="B71" s="48"/>
      <c r="H71" s="59" t="s">
        <v>15</v>
      </c>
      <c r="I71" s="1" t="s">
        <v>16</v>
      </c>
      <c r="J71" s="38" t="s">
        <v>4</v>
      </c>
      <c r="K71" s="1" t="s">
        <v>17</v>
      </c>
    </row>
    <row r="72" spans="1:18" hidden="1" outlineLevel="1">
      <c r="A72" s="21">
        <f>RANK(B72,B$72:B$76,1)</f>
        <v>1</v>
      </c>
      <c r="B72" s="48">
        <f>SUM(H72:J72)+ROW()/1000</f>
        <v>10110.072</v>
      </c>
      <c r="C72" s="22" t="str">
        <f>B44</f>
        <v>Spanien</v>
      </c>
      <c r="D72" s="3">
        <f>SUM(D60:D69)</f>
        <v>0</v>
      </c>
      <c r="E72" s="3">
        <f>F72+G72</f>
        <v>0</v>
      </c>
      <c r="F72" s="22">
        <f>SUM(E60:E69)</f>
        <v>0</v>
      </c>
      <c r="G72" s="22">
        <f>SUM(F60:F69)</f>
        <v>0</v>
      </c>
      <c r="H72" s="59">
        <f>10000*RANK(D72,D$72:D$76)-N72</f>
        <v>10000</v>
      </c>
      <c r="I72" s="1">
        <f>100*RANK(E72,E$72:E$76)</f>
        <v>100</v>
      </c>
      <c r="J72" s="1">
        <f>10*RANK(F72,F$72:F$76)</f>
        <v>10</v>
      </c>
      <c r="K72" s="1">
        <f>4-COUNTIF(D$60:D$69,"A")</f>
        <v>0</v>
      </c>
      <c r="L72" s="1">
        <f>COUNTIF(D$60:D$69,I$40)</f>
        <v>0</v>
      </c>
      <c r="M72" s="1">
        <f>COUNTIF(D$60:D$69,J$40)</f>
        <v>0</v>
      </c>
      <c r="N72" s="1">
        <f>IF(A44&lt;&gt;"",500,0)</f>
        <v>0</v>
      </c>
      <c r="O72" s="39" t="str">
        <f>IF(A44&lt;&gt;"",UPPER(A44),"")</f>
        <v/>
      </c>
    </row>
    <row r="73" spans="1:18" hidden="1" outlineLevel="1">
      <c r="A73" s="21">
        <f>RANK(B73,B$72:B$76,1)</f>
        <v>2</v>
      </c>
      <c r="B73" s="48">
        <f>SUM(H73:J73)+ROW()/1000</f>
        <v>10110.073</v>
      </c>
      <c r="C73" s="22" t="str">
        <f>B45</f>
        <v>Holland</v>
      </c>
      <c r="D73" s="3">
        <f>SUM(G60:G69)</f>
        <v>0</v>
      </c>
      <c r="E73" s="3">
        <f>F73+G73</f>
        <v>0</v>
      </c>
      <c r="F73" s="22">
        <f>SUM(H60:H69)</f>
        <v>0</v>
      </c>
      <c r="G73" s="22">
        <f>SUM(I60:I69)</f>
        <v>0</v>
      </c>
      <c r="H73" s="59">
        <f>10000*RANK(D73,D$72:D$76)-N73</f>
        <v>10000</v>
      </c>
      <c r="I73" s="1">
        <f>100*RANK(E73,E$72:E$76)</f>
        <v>100</v>
      </c>
      <c r="J73" s="1">
        <f>10*RANK(F73,F$72:F$76)</f>
        <v>10</v>
      </c>
      <c r="K73" s="1">
        <f>4-COUNTIF(G$60:G$69,"A")</f>
        <v>0</v>
      </c>
      <c r="L73" s="1">
        <f>COUNTIF(G$60:G$69,I$40)</f>
        <v>0</v>
      </c>
      <c r="M73" s="1">
        <f>COUNTIF(G$60:G$69,J$40)</f>
        <v>0</v>
      </c>
      <c r="N73" s="1">
        <f>IF(A45&lt;&gt;"",500,0)</f>
        <v>0</v>
      </c>
      <c r="O73" s="39" t="str">
        <f>IF(A45&lt;&gt;"",UPPER(A45),"")</f>
        <v/>
      </c>
    </row>
    <row r="74" spans="1:18" hidden="1" outlineLevel="1">
      <c r="A74" s="21">
        <f>RANK(B74,B$72:B$76,1)</f>
        <v>3</v>
      </c>
      <c r="B74" s="48">
        <f>SUM(H74:J74)+ROW()/1000</f>
        <v>10110.074000000001</v>
      </c>
      <c r="C74" s="22" t="str">
        <f>B46</f>
        <v>Chile</v>
      </c>
      <c r="D74" s="3">
        <f>SUM(J60:J69)</f>
        <v>0</v>
      </c>
      <c r="E74" s="3">
        <f>F74+G74</f>
        <v>0</v>
      </c>
      <c r="F74" s="22">
        <f>SUM(K60:K69)</f>
        <v>0</v>
      </c>
      <c r="G74" s="22">
        <f>SUM(L60:L69)</f>
        <v>0</v>
      </c>
      <c r="H74" s="59">
        <f>10000*RANK(D74,D$72:D$76)-N74</f>
        <v>10000</v>
      </c>
      <c r="I74" s="1">
        <f>100*RANK(E74,E$72:E$76)</f>
        <v>100</v>
      </c>
      <c r="J74" s="1">
        <f>10*RANK(F74,F$72:F$76)</f>
        <v>10</v>
      </c>
      <c r="K74" s="1">
        <f>4-COUNTIF(J$60:J$69,"A")</f>
        <v>0</v>
      </c>
      <c r="L74" s="1">
        <f>COUNTIF(J$60:J$69,I$40)</f>
        <v>0</v>
      </c>
      <c r="M74" s="1">
        <f>COUNTIF(J$60:J$69,J$40)</f>
        <v>0</v>
      </c>
      <c r="N74" s="1">
        <f>IF(A46&lt;&gt;"",500,0)</f>
        <v>0</v>
      </c>
      <c r="O74" s="39" t="str">
        <f>IF(A46&lt;&gt;"",UPPER(A46),"")</f>
        <v/>
      </c>
    </row>
    <row r="75" spans="1:18" hidden="1" outlineLevel="1">
      <c r="A75" s="21">
        <f>RANK(B75,B$72:B$76,1)</f>
        <v>4</v>
      </c>
      <c r="B75" s="48">
        <f>SUM(H75:J75)+ROW()/1000</f>
        <v>10110.075000000001</v>
      </c>
      <c r="C75" s="22" t="str">
        <f>B47</f>
        <v>Australien</v>
      </c>
      <c r="D75" s="3">
        <f>SUM(M60:M69)</f>
        <v>0</v>
      </c>
      <c r="E75" s="3">
        <f>F75+G75</f>
        <v>0</v>
      </c>
      <c r="F75" s="22">
        <f>SUM(N60:N69)</f>
        <v>0</v>
      </c>
      <c r="G75" s="22">
        <f>SUM(O60:O69)</f>
        <v>0</v>
      </c>
      <c r="H75" s="59">
        <f>10000*RANK(D75,D$72:D$76)-N75</f>
        <v>10000</v>
      </c>
      <c r="I75" s="1">
        <f>100*RANK(E75,E$72:E$76)</f>
        <v>100</v>
      </c>
      <c r="J75" s="1">
        <f>10*RANK(F75,F$72:F$76)</f>
        <v>10</v>
      </c>
      <c r="K75" s="1">
        <f>4-COUNTIF(M$60:M$69,"A")</f>
        <v>0</v>
      </c>
      <c r="L75" s="1">
        <f>COUNTIF(M$60:M$69,I$40)</f>
        <v>0</v>
      </c>
      <c r="M75" s="1">
        <f>COUNTIF(M$60:M$69,J$40)</f>
        <v>0</v>
      </c>
      <c r="N75" s="1">
        <f>IF(A47&lt;&gt;"",500,0)</f>
        <v>0</v>
      </c>
      <c r="O75" s="39" t="str">
        <f>IF(A47&lt;&gt;"",UPPER(A47),"")</f>
        <v/>
      </c>
    </row>
    <row r="76" spans="1:18" hidden="1" outlineLevel="1">
      <c r="A76" s="21">
        <f>RANK(B76,B$72:B$76,1)</f>
        <v>5</v>
      </c>
      <c r="B76" s="48">
        <f>SUM(H76:J76)+ROW()/1000</f>
        <v>10510.075999999999</v>
      </c>
      <c r="C76" s="22" t="str">
        <f>B53</f>
        <v>#######</v>
      </c>
      <c r="D76" s="3">
        <v>0</v>
      </c>
      <c r="E76" s="3">
        <f>F76+G76</f>
        <v>-100</v>
      </c>
      <c r="F76" s="22">
        <v>0</v>
      </c>
      <c r="G76" s="22">
        <v>-100</v>
      </c>
      <c r="H76" s="59">
        <f>10000*RANK(D76,D$72:D$76)-N76</f>
        <v>10000</v>
      </c>
      <c r="I76" s="1">
        <f>100*RANK(E76,E$72:E$76)</f>
        <v>500</v>
      </c>
      <c r="J76" s="1">
        <f>10*RANK(F76,F$72:F$76)</f>
        <v>10</v>
      </c>
      <c r="K76" s="1">
        <f>4-COUNTIF(P$60:P$69,"A")</f>
        <v>0</v>
      </c>
      <c r="L76" s="1">
        <f>COUNTIF(P$60:P$69,I$40)</f>
        <v>0</v>
      </c>
      <c r="M76" s="1">
        <f>COUNTIF(P$60:P$69,J$40)</f>
        <v>0</v>
      </c>
      <c r="N76" s="1">
        <f>IF(A48&lt;&gt;"",500,0)</f>
        <v>0</v>
      </c>
      <c r="O76" s="39" t="str">
        <f>IF(A48&lt;&gt;"",UPPER(A48),"")</f>
        <v/>
      </c>
    </row>
    <row r="77" spans="1:18" hidden="1" outlineLevel="1">
      <c r="B77" s="48"/>
    </row>
    <row r="78" spans="1:18" hidden="1" outlineLevel="1">
      <c r="B78" s="48"/>
      <c r="C78" s="14"/>
      <c r="D78" s="14"/>
      <c r="E78" s="14"/>
      <c r="F78" s="14"/>
      <c r="G78" s="14"/>
    </row>
    <row r="79" spans="1:18" hidden="1" outlineLevel="1">
      <c r="B79" s="48"/>
      <c r="C79" s="14"/>
      <c r="D79" s="14"/>
      <c r="E79" s="14"/>
      <c r="F79" s="14"/>
      <c r="G79" s="14"/>
      <c r="I79" s="45">
        <f>I1</f>
        <v>3</v>
      </c>
      <c r="J79" s="45">
        <f>J1</f>
        <v>1</v>
      </c>
    </row>
    <row r="80" spans="1:18" ht="15" collapsed="1" thickBot="1">
      <c r="A80" s="1" t="str">
        <f>IF(A1=1,"Walter Fricke (WF), Derendorf","")</f>
        <v/>
      </c>
      <c r="B80" s="48"/>
      <c r="C80" s="14"/>
      <c r="D80" s="14"/>
      <c r="E80" s="14"/>
      <c r="F80" s="14"/>
      <c r="G80" s="14"/>
      <c r="I80" s="45"/>
      <c r="J80" s="45"/>
    </row>
    <row r="81" spans="1:54" ht="18">
      <c r="B81" s="47" t="s">
        <v>19</v>
      </c>
      <c r="C81" s="1">
        <v>1</v>
      </c>
      <c r="D81" s="46" t="str">
        <f>B83</f>
        <v>Kolumbien</v>
      </c>
      <c r="E81" s="46" t="str">
        <f>B84</f>
        <v>Griechenland</v>
      </c>
      <c r="F81" s="69"/>
      <c r="G81" s="70"/>
      <c r="H81" s="246">
        <v>41804.75</v>
      </c>
      <c r="I81" s="1">
        <f>IF(F81="",0,IF(F81=G81,J$79,IF(F81&gt;G81,I$79,0)))</f>
        <v>0</v>
      </c>
      <c r="J81" s="1">
        <f>IF(G81="",0,IF(F81=G81,J$79,IF(F81&lt;G81,I$79,0)))</f>
        <v>0</v>
      </c>
      <c r="N81" s="7"/>
      <c r="O81" s="8"/>
      <c r="P81" s="9" t="s">
        <v>1</v>
      </c>
      <c r="Q81" s="9" t="s">
        <v>2</v>
      </c>
      <c r="R81" s="10" t="s">
        <v>3</v>
      </c>
      <c r="S81" s="11" t="s">
        <v>4</v>
      </c>
      <c r="T81" s="12" t="s">
        <v>5</v>
      </c>
      <c r="U81" s="10" t="s">
        <v>6</v>
      </c>
      <c r="V81" s="9" t="s">
        <v>7</v>
      </c>
      <c r="W81" s="13" t="s">
        <v>8</v>
      </c>
      <c r="Y81" s="14"/>
      <c r="Z81"/>
      <c r="AA81"/>
      <c r="AB81" s="15" t="s">
        <v>9</v>
      </c>
      <c r="AF81"/>
      <c r="AG81"/>
      <c r="AS81" s="7"/>
      <c r="AT81" s="8"/>
      <c r="AU81" s="9" t="s">
        <v>1</v>
      </c>
      <c r="AV81" s="9" t="s">
        <v>2</v>
      </c>
      <c r="AW81" s="10" t="s">
        <v>3</v>
      </c>
      <c r="AX81" s="11" t="s">
        <v>4</v>
      </c>
      <c r="AY81" s="12" t="s">
        <v>5</v>
      </c>
      <c r="AZ81" s="64" t="s">
        <v>6</v>
      </c>
      <c r="BA81" s="64" t="s">
        <v>7</v>
      </c>
      <c r="BB81" s="65" t="s">
        <v>8</v>
      </c>
    </row>
    <row r="82" spans="1:54">
      <c r="B82" s="48"/>
      <c r="C82" s="1">
        <v>2</v>
      </c>
      <c r="D82" s="46" t="str">
        <f>B85</f>
        <v>Elfenbeinküste</v>
      </c>
      <c r="E82" s="46" t="str">
        <f>B86</f>
        <v>Japan</v>
      </c>
      <c r="F82" s="69"/>
      <c r="G82" s="70"/>
      <c r="H82" s="245">
        <v>41804</v>
      </c>
      <c r="I82" s="1">
        <f>IF(F82="",0,IF(F82=G82,J$79,IF(F82&gt;G82,I$79,0)))</f>
        <v>0</v>
      </c>
      <c r="J82" s="1">
        <f>IF(G82="",0,IF(F82=G82,J$79,IF(F82&lt;G82,I$79,0)))</f>
        <v>0</v>
      </c>
      <c r="N82" s="16"/>
      <c r="O82" s="17"/>
      <c r="P82" s="14"/>
      <c r="Q82" s="17"/>
      <c r="R82" s="18"/>
      <c r="S82" s="18"/>
      <c r="T82" s="19"/>
      <c r="W82" s="20"/>
      <c r="Y82" s="14"/>
      <c r="Z82"/>
      <c r="AA82"/>
      <c r="AF82"/>
      <c r="AG82"/>
      <c r="AH82" s="21" t="s">
        <v>10</v>
      </c>
      <c r="AN82" s="21" t="s">
        <v>11</v>
      </c>
      <c r="AS82" s="16"/>
      <c r="AT82" s="17"/>
      <c r="AU82" s="14"/>
      <c r="AV82" s="17"/>
      <c r="AW82" s="18"/>
      <c r="AX82" s="18"/>
      <c r="AY82" s="19"/>
      <c r="BB82" s="66"/>
    </row>
    <row r="83" spans="1:54" ht="15">
      <c r="A83" s="71"/>
      <c r="B83" s="72" t="s">
        <v>180</v>
      </c>
      <c r="C83" s="1">
        <v>3</v>
      </c>
      <c r="D83" s="46" t="str">
        <f>B83</f>
        <v>Kolumbien</v>
      </c>
      <c r="E83" s="46" t="str">
        <f>B85</f>
        <v>Elfenbeinküste</v>
      </c>
      <c r="F83" s="69"/>
      <c r="G83" s="70"/>
      <c r="H83" s="246">
        <v>42905.75</v>
      </c>
      <c r="I83" s="1">
        <f>IF(F92="",0,IF(F92=G92,J$79,IF(F92&gt;G92,I$79,0)))</f>
        <v>0</v>
      </c>
      <c r="J83" s="1">
        <f>IF(G92="",0,IF(F92=G92,J$79,IF(F92&lt;G92,I$79,0)))</f>
        <v>0</v>
      </c>
      <c r="K83" s="1">
        <v>1</v>
      </c>
      <c r="L83" s="1">
        <f>IF(OR(Q$83+Q$84+Q$85=3*Q$83,Q$86+Q$84+Q$85=3*Q$86,AE83+AK83+AQ83=0),K83,AE83+AK83+AQ83)</f>
        <v>1</v>
      </c>
      <c r="M83" s="22">
        <f>INT(VLOOKUP($K83,$A$111:$G$115,2,0))</f>
        <v>10110</v>
      </c>
      <c r="N83" s="23">
        <f>1</f>
        <v>1</v>
      </c>
      <c r="O83" s="24" t="str">
        <f>VLOOKUP($K83,$A$111:$G$115,3,0)</f>
        <v>Kolumbien</v>
      </c>
      <c r="P83" s="22">
        <f>VLOOKUP($K83,$A$111:$K$115,11,0)</f>
        <v>0</v>
      </c>
      <c r="Q83" s="25">
        <f>VLOOKUP($K83,$A$111:$G$115,4,0)</f>
        <v>0</v>
      </c>
      <c r="R83" s="18">
        <f>VLOOKUP($K83,$A$111:$G$115,5,0)</f>
        <v>0</v>
      </c>
      <c r="S83" s="18">
        <f>VLOOKUP($K83,$A$111:$G$115,6,0)</f>
        <v>0</v>
      </c>
      <c r="T83" s="19">
        <f>VLOOKUP($K83,$A$111:$G$115,7,0)</f>
        <v>0</v>
      </c>
      <c r="U83" s="14">
        <f>VLOOKUP($K83,$A$111:$M$115,12,0)</f>
        <v>0</v>
      </c>
      <c r="V83" s="1">
        <f>VLOOKUP($K83,$A$111:$M$115,13,0)</f>
        <v>0</v>
      </c>
      <c r="W83" s="20">
        <f>P83-U83-V83</f>
        <v>0</v>
      </c>
      <c r="X83" s="25" t="str">
        <f>VLOOKUP($K83,$A$111:$G$115,4,0)&amp;" "&amp;VLOOKUP($K83,$A$111:$P$115,15,0)</f>
        <v xml:space="preserve">0 </v>
      </c>
      <c r="Y83" s="1">
        <f>INT(VLOOKUP($K83,$A$111:$H$115,8,0))</f>
        <v>10000</v>
      </c>
      <c r="Z83" s="1">
        <f>IF(AND(Y$83=Y$84,OR(AND(D81=O$83,E81=O$84),AND(D81=O$84,E81=O$83))),1,0)</f>
        <v>1</v>
      </c>
      <c r="AA83" s="1" t="str">
        <f t="shared" ref="AA83:AA88" si="24">VLOOKUP($Z83,$C$81:$G$86,2,0)</f>
        <v>Kolumbien</v>
      </c>
      <c r="AB83" s="1" t="str">
        <f t="shared" ref="AB83:AB88" si="25">VLOOKUP($Z83,$C$81:$G$86,3,0)</f>
        <v>Griechenland</v>
      </c>
      <c r="AC83" s="1">
        <f t="shared" ref="AC83:AC88" si="26">VLOOKUP($Z83,$C$81:$G$86,4,0)</f>
        <v>0</v>
      </c>
      <c r="AD83" s="1">
        <f t="shared" ref="AD83:AD88" si="27">VLOOKUP($Z83,$C$81:$G$86,5,0)</f>
        <v>0</v>
      </c>
      <c r="AE83" s="1">
        <f>IF(ISERROR(AC90),0,IF(AC90=0,0,IF(OR(AND(AA90=O83,AC90&gt;0),AND(AB90=O83,AC90&lt;0)),1,2)))</f>
        <v>0</v>
      </c>
      <c r="AF83" s="1">
        <f>IF(AND($Y$84=$Y$85,OR(AND($D81=$O$84,$E81=$O$85),AND($D81=$O$85,$E81=$O$84))),1,0)</f>
        <v>0</v>
      </c>
      <c r="AG83" s="1" t="e">
        <f t="shared" ref="AG83:AG88" si="28">VLOOKUP($AF83,$C$81:$G$86,2,0)</f>
        <v>#N/A</v>
      </c>
      <c r="AH83" s="1" t="e">
        <f t="shared" ref="AH83:AH88" si="29">VLOOKUP($AF83,$C$81:$G$86,3,0)</f>
        <v>#N/A</v>
      </c>
      <c r="AI83" s="1" t="e">
        <f t="shared" ref="AI83:AI88" si="30">VLOOKUP($AF83,$C$81:$G$86,4,0)</f>
        <v>#N/A</v>
      </c>
      <c r="AJ83" s="1" t="e">
        <f t="shared" ref="AJ83:AJ88" si="31">VLOOKUP($AF83,$C$81:$G$86,5,0)</f>
        <v>#N/A</v>
      </c>
      <c r="AK83"/>
      <c r="AL83" s="1">
        <f>IF(AND($Y$85=$Y$86,OR(AND($D81=$O$85,$E81=$O$86),AND($D81=$O$86,$E81=$O$85))),1,0)</f>
        <v>0</v>
      </c>
      <c r="AM83" s="1" t="e">
        <f t="shared" ref="AM83:AM88" si="32">VLOOKUP($AL83,$C$81:$G$86,2,0)</f>
        <v>#N/A</v>
      </c>
      <c r="AN83" s="1" t="e">
        <f t="shared" ref="AN83:AN88" si="33">VLOOKUP($AL83,$C$81:$G$86,3,0)</f>
        <v>#N/A</v>
      </c>
      <c r="AO83" s="1" t="e">
        <f t="shared" ref="AO83:AO88" si="34">VLOOKUP($AL83,$C$81:$G$86,4,0)</f>
        <v>#N/A</v>
      </c>
      <c r="AP83" s="1" t="e">
        <f t="shared" ref="AP83:AP88" si="35">VLOOKUP($AL83,$C$81:$G$86,5,0)</f>
        <v>#N/A</v>
      </c>
      <c r="AS83" s="23">
        <v>1</v>
      </c>
      <c r="AT83" s="24" t="str">
        <f>VLOOKUP($K83,$L$83:$W$86,4,0)</f>
        <v>Kolumbien</v>
      </c>
      <c r="AU83" s="22">
        <f>VLOOKUP($K83,$L$83:$W$86,5,0)</f>
        <v>0</v>
      </c>
      <c r="AV83" s="25" t="str">
        <f>VLOOKUP($K83,$L$83:$X$86,13,0)</f>
        <v xml:space="preserve">0 </v>
      </c>
      <c r="AW83" s="18">
        <f>VLOOKUP($K83,$L$83:$W$86,7,0)</f>
        <v>0</v>
      </c>
      <c r="AX83" s="18">
        <f>VLOOKUP($K83,$L$83:$W$86,8,0)</f>
        <v>0</v>
      </c>
      <c r="AY83" s="19">
        <f>VLOOKUP($K83,$L$83:$W$86,9,0)</f>
        <v>0</v>
      </c>
      <c r="AZ83" s="51">
        <f>VLOOKUP($K83,$L$83:$W$86,10,0)</f>
        <v>0</v>
      </c>
      <c r="BA83" s="22">
        <f>VLOOKUP($K83,$L$83:$W$86,11,0)</f>
        <v>0</v>
      </c>
      <c r="BB83" s="66">
        <f>VLOOKUP($K83,$L$83:$W$86,12,0)</f>
        <v>0</v>
      </c>
    </row>
    <row r="84" spans="1:54" ht="15">
      <c r="A84" s="71"/>
      <c r="B84" s="72" t="s">
        <v>70</v>
      </c>
      <c r="C84" s="1">
        <v>4</v>
      </c>
      <c r="D84" s="46" t="str">
        <f>B84</f>
        <v>Griechenland</v>
      </c>
      <c r="E84" s="46" t="str">
        <f>B86</f>
        <v>Japan</v>
      </c>
      <c r="F84" s="69"/>
      <c r="G84" s="70"/>
      <c r="H84" s="245">
        <v>40348</v>
      </c>
      <c r="I84" s="1">
        <f>IF(F83="",0,IF(F83=G83,J$79,IF(F83&gt;G83,I$79,0)))</f>
        <v>0</v>
      </c>
      <c r="J84" s="1">
        <f>IF(G83="",0,IF(F83=G83,J$79,IF(F83&lt;G83,I$79,0)))</f>
        <v>0</v>
      </c>
      <c r="K84" s="1">
        <v>2</v>
      </c>
      <c r="L84" s="1">
        <f>IF(OR(Q$83+Q$84+Q$85=3*Q$83,Q$86+Q$84+Q$85=3*Q$86,AE84+AK84+AQ84=0),K84,AE84+AK84+AQ84)</f>
        <v>2</v>
      </c>
      <c r="M84" s="22">
        <f>INT(VLOOKUP($K84,$A$111:$G$115,2,0))</f>
        <v>10110</v>
      </c>
      <c r="N84" s="23" t="str">
        <f>IF(M84=M83,"",K84)</f>
        <v/>
      </c>
      <c r="O84" s="24" t="str">
        <f>VLOOKUP($K84,$A$111:$G$115,3,0)</f>
        <v>Griechenland</v>
      </c>
      <c r="P84" s="22">
        <f>VLOOKUP($K84,$A$111:$K$115,11,0)</f>
        <v>0</v>
      </c>
      <c r="Q84" s="25">
        <f>VLOOKUP($K84,$A$111:$G$115,4,0)</f>
        <v>0</v>
      </c>
      <c r="R84" s="18">
        <f>VLOOKUP($K84,$A$111:$G$115,5,0)</f>
        <v>0</v>
      </c>
      <c r="S84" s="18">
        <f>VLOOKUP($K84,$A$111:$G$115,6,0)</f>
        <v>0</v>
      </c>
      <c r="T84" s="19">
        <f>VLOOKUP($K84,$A$111:$G$115,7,0)</f>
        <v>0</v>
      </c>
      <c r="U84" s="14">
        <f>VLOOKUP($K84,$A$111:$M$115,12,0)</f>
        <v>0</v>
      </c>
      <c r="V84" s="1">
        <f>VLOOKUP($K84,$A$111:$M$115,13,0)</f>
        <v>0</v>
      </c>
      <c r="W84" s="20">
        <f>P84-U84-V84</f>
        <v>0</v>
      </c>
      <c r="X84" s="25" t="str">
        <f>VLOOKUP($K84,$A$111:$G$115,4,0)&amp;" "&amp;VLOOKUP($K84,$A$111:$P$115,15,0)</f>
        <v xml:space="preserve">0 </v>
      </c>
      <c r="Y84" s="1">
        <f>INT(VLOOKUP($K84,$A$111:$H$115,8,0))</f>
        <v>10000</v>
      </c>
      <c r="Z84" s="1">
        <f>IF(AND(Y$83=Y$84,OR(AND(D82=O$83,E82=O$84),AND(D82=O$84,E82=O$83))),2,0)</f>
        <v>0</v>
      </c>
      <c r="AA84" s="1" t="e">
        <f t="shared" si="24"/>
        <v>#N/A</v>
      </c>
      <c r="AB84" s="1" t="e">
        <f t="shared" si="25"/>
        <v>#N/A</v>
      </c>
      <c r="AC84" s="1" t="e">
        <f t="shared" si="26"/>
        <v>#N/A</v>
      </c>
      <c r="AD84" s="1" t="e">
        <f t="shared" si="27"/>
        <v>#N/A</v>
      </c>
      <c r="AE84" s="1">
        <f>IF(AE83=2,1,IF(AE83=1,2,0))</f>
        <v>0</v>
      </c>
      <c r="AF84" s="1">
        <f>IF(AND(Y$84=Y$85,OR(AND(D82=O$84,E82=O$85),AND(D82=O$85,E82=O$84))),2,0)</f>
        <v>0</v>
      </c>
      <c r="AG84" s="1" t="e">
        <f t="shared" si="28"/>
        <v>#N/A</v>
      </c>
      <c r="AH84" s="1" t="e">
        <f t="shared" si="29"/>
        <v>#N/A</v>
      </c>
      <c r="AI84" s="1" t="e">
        <f t="shared" si="30"/>
        <v>#N/A</v>
      </c>
      <c r="AJ84" s="1" t="e">
        <f t="shared" si="31"/>
        <v>#N/A</v>
      </c>
      <c r="AK84" s="1">
        <f>IF(ISERROR(AI90),0,IF(AI90=0,0,IF(OR(AND(AG90=O84,AI90&gt;0),AND(AH90=O84,AI90&lt;0)),2,3)))</f>
        <v>0</v>
      </c>
      <c r="AL84" s="1">
        <f>IF(AND($Y$85=$Y$86,OR(AND($D82=$O$85,$E82=$O$86),AND($D82=$O$86,$E82=$O$85))),2,0)</f>
        <v>2</v>
      </c>
      <c r="AM84" s="1" t="str">
        <f t="shared" si="32"/>
        <v>Elfenbeinküste</v>
      </c>
      <c r="AN84" s="1" t="str">
        <f t="shared" si="33"/>
        <v>Japan</v>
      </c>
      <c r="AO84" s="1">
        <f t="shared" si="34"/>
        <v>0</v>
      </c>
      <c r="AP84" s="1">
        <f t="shared" si="35"/>
        <v>0</v>
      </c>
      <c r="AQ84"/>
      <c r="AR84"/>
      <c r="AS84" s="23" t="str">
        <f>IF(AND(OR(AR$90=1,AE84+AK84+AQ84=0),M84=M83),"",2)</f>
        <v/>
      </c>
      <c r="AT84" s="24" t="str">
        <f>VLOOKUP($K84,$L$83:$W$86,4,0)</f>
        <v>Griechenland</v>
      </c>
      <c r="AU84" s="22">
        <f>VLOOKUP($K84,$L$83:$W$86,5,0)</f>
        <v>0</v>
      </c>
      <c r="AV84" s="25" t="str">
        <f>VLOOKUP($K84,$L$83:$X$86,13,0)</f>
        <v xml:space="preserve">0 </v>
      </c>
      <c r="AW84" s="18">
        <f>VLOOKUP($K84,$L$83:$W$86,7,0)</f>
        <v>0</v>
      </c>
      <c r="AX84" s="18">
        <f>VLOOKUP($K84,$L$83:$W$86,8,0)</f>
        <v>0</v>
      </c>
      <c r="AY84" s="19">
        <f>VLOOKUP($K84,$L$83:$W$86,9,0)</f>
        <v>0</v>
      </c>
      <c r="AZ84" s="51">
        <f>VLOOKUP($K84,$L$83:$W$86,10,0)</f>
        <v>0</v>
      </c>
      <c r="BA84" s="22">
        <f>VLOOKUP($K84,$L$83:$W$86,11,0)</f>
        <v>0</v>
      </c>
      <c r="BB84" s="66">
        <f>VLOOKUP($K84,$L$83:$W$86,12,0)</f>
        <v>0</v>
      </c>
    </row>
    <row r="85" spans="1:54" ht="15">
      <c r="A85" s="71"/>
      <c r="B85" s="72" t="s">
        <v>192</v>
      </c>
      <c r="C85" s="1">
        <v>5</v>
      </c>
      <c r="D85" s="46" t="str">
        <f>B83</f>
        <v>Kolumbien</v>
      </c>
      <c r="E85" s="46" t="str">
        <f>B86</f>
        <v>Japan</v>
      </c>
      <c r="F85" s="69"/>
      <c r="G85" s="70"/>
      <c r="H85" s="246">
        <v>41814.916666666664</v>
      </c>
      <c r="I85" s="1">
        <f>IF(F93="",0,IF(F93=G93,J$79,IF(F93&gt;G93,I$79,0)))</f>
        <v>0</v>
      </c>
      <c r="J85" s="1">
        <f>IF(G93="",0,IF(F93=G93,J$79,IF(F93&lt;G93,I$79,0)))</f>
        <v>0</v>
      </c>
      <c r="K85" s="1">
        <v>3</v>
      </c>
      <c r="L85" s="1">
        <f>IF(OR(Q$83+Q$84+Q$85=3*Q$83,Q$86+Q$84+Q$85=3*Q$86,AE85+AK85+AQ85=0),K85,AE85+AK85+AQ85)</f>
        <v>3</v>
      </c>
      <c r="M85" s="22">
        <f>INT(VLOOKUP($K85,$A$111:$G$115,2,0))</f>
        <v>10110</v>
      </c>
      <c r="N85" s="23" t="str">
        <f>IF(M85=M84,"",K85)</f>
        <v/>
      </c>
      <c r="O85" s="24" t="str">
        <f>VLOOKUP($K85,$A$111:$G$115,3,0)</f>
        <v>Elfenbeinküste</v>
      </c>
      <c r="P85" s="22">
        <f>VLOOKUP($K85,$A$111:$K$115,11,0)</f>
        <v>0</v>
      </c>
      <c r="Q85" s="25">
        <f>VLOOKUP($K85,$A$111:$G$115,4,0)</f>
        <v>0</v>
      </c>
      <c r="R85" s="18">
        <f>VLOOKUP($K85,$A$111:$G$115,5,0)</f>
        <v>0</v>
      </c>
      <c r="S85" s="18">
        <f>VLOOKUP($K85,$A$111:$G$115,6,0)</f>
        <v>0</v>
      </c>
      <c r="T85" s="19">
        <f>VLOOKUP($K85,$A$111:$G$115,7,0)</f>
        <v>0</v>
      </c>
      <c r="U85" s="14">
        <f>VLOOKUP($K85,$A$111:$M$115,12,0)</f>
        <v>0</v>
      </c>
      <c r="V85" s="1">
        <f>VLOOKUP($K85,$A$111:$M$115,13,0)</f>
        <v>0</v>
      </c>
      <c r="W85" s="20">
        <f>P85-U85-V85</f>
        <v>0</v>
      </c>
      <c r="X85" s="25" t="str">
        <f>VLOOKUP($K85,$A$111:$G$115,4,0)&amp;" "&amp;VLOOKUP($K85,$A$111:$P$115,15,0)</f>
        <v xml:space="preserve">0 </v>
      </c>
      <c r="Y85" s="1">
        <f>INT(VLOOKUP($K85,$A$111:$H$115,8,0))</f>
        <v>10000</v>
      </c>
      <c r="Z85" s="1">
        <f>IF(AND(Y$83=Y$84,OR(AND(D83=O$83,E83=O$84),AND(D83=O$84,E83=O$83))),3,0)</f>
        <v>0</v>
      </c>
      <c r="AA85" s="1" t="e">
        <f t="shared" si="24"/>
        <v>#N/A</v>
      </c>
      <c r="AB85" s="1" t="e">
        <f t="shared" si="25"/>
        <v>#N/A</v>
      </c>
      <c r="AC85" s="1" t="e">
        <f t="shared" si="26"/>
        <v>#N/A</v>
      </c>
      <c r="AD85" s="1" t="e">
        <f t="shared" si="27"/>
        <v>#N/A</v>
      </c>
      <c r="AF85" s="1">
        <f>IF(AND(Y$84=Y$85,OR(AND(D83=O$84,E83=O$85),AND(D83=O$85,E83=O$84))),3,0)</f>
        <v>0</v>
      </c>
      <c r="AG85" s="1" t="e">
        <f t="shared" si="28"/>
        <v>#N/A</v>
      </c>
      <c r="AH85" s="1" t="e">
        <f t="shared" si="29"/>
        <v>#N/A</v>
      </c>
      <c r="AI85" s="1" t="e">
        <f t="shared" si="30"/>
        <v>#N/A</v>
      </c>
      <c r="AJ85" s="1" t="e">
        <f t="shared" si="31"/>
        <v>#N/A</v>
      </c>
      <c r="AK85" s="1">
        <f>IF(AK84=3,2,IF(AK84=2,3,0))</f>
        <v>0</v>
      </c>
      <c r="AL85" s="1">
        <f>IF(AND($Y$85=$Y$86,OR(AND($D83=$O$85,$E83=$O$86),AND($D83=$O$86,$E83=$O$85))),3,0)</f>
        <v>0</v>
      </c>
      <c r="AM85" s="1" t="e">
        <f t="shared" si="32"/>
        <v>#N/A</v>
      </c>
      <c r="AN85" s="1" t="e">
        <f t="shared" si="33"/>
        <v>#N/A</v>
      </c>
      <c r="AO85" s="1" t="e">
        <f t="shared" si="34"/>
        <v>#N/A</v>
      </c>
      <c r="AP85" s="1" t="e">
        <f t="shared" si="35"/>
        <v>#N/A</v>
      </c>
      <c r="AQ85" s="1">
        <f>IF(ISERROR(AO90),0,IF(AO90=0,0,IF(OR(AND(AM90=O85,AO90&gt;0),AND(AN90=O85,AO90&lt;0)),3,4)))</f>
        <v>0</v>
      </c>
      <c r="AS85" s="23" t="str">
        <f>IF(AND(OR(AR$90=1,AE85+AK85+AQ85=0),M85=M84),"",3)</f>
        <v/>
      </c>
      <c r="AT85" s="24" t="str">
        <f>VLOOKUP($K85,$L$83:$W$86,4,0)</f>
        <v>Elfenbeinküste</v>
      </c>
      <c r="AU85" s="22">
        <f>VLOOKUP($K85,$L$83:$W$86,5,0)</f>
        <v>0</v>
      </c>
      <c r="AV85" s="25" t="str">
        <f>VLOOKUP($K85,$L$83:$X$86,13,0)</f>
        <v xml:space="preserve">0 </v>
      </c>
      <c r="AW85" s="18">
        <f>VLOOKUP($K85,$L$83:$W$86,7,0)</f>
        <v>0</v>
      </c>
      <c r="AX85" s="18">
        <f>VLOOKUP($K85,$L$83:$W$86,8,0)</f>
        <v>0</v>
      </c>
      <c r="AY85" s="19">
        <f>VLOOKUP($K85,$L$83:$W$86,9,0)</f>
        <v>0</v>
      </c>
      <c r="AZ85" s="51">
        <f>VLOOKUP($K85,$L$83:$W$86,10,0)</f>
        <v>0</v>
      </c>
      <c r="BA85" s="22">
        <f>VLOOKUP($K85,$L$83:$W$86,11,0)</f>
        <v>0</v>
      </c>
      <c r="BB85" s="66">
        <f>VLOOKUP($K85,$L$83:$W$86,12,0)</f>
        <v>0</v>
      </c>
    </row>
    <row r="86" spans="1:54" ht="15.75" thickBot="1">
      <c r="A86" s="71"/>
      <c r="B86" s="72" t="s">
        <v>47</v>
      </c>
      <c r="C86" s="1">
        <v>6</v>
      </c>
      <c r="D86" s="46" t="str">
        <f>B84</f>
        <v>Griechenland</v>
      </c>
      <c r="E86" s="46" t="str">
        <f>B85</f>
        <v>Elfenbeinküste</v>
      </c>
      <c r="F86" s="69"/>
      <c r="G86" s="70"/>
      <c r="H86" s="246">
        <v>41814.916666666664</v>
      </c>
      <c r="I86" s="1">
        <f>IF(F84="",0,IF(F84=G84,J$79,IF(F84&gt;G84,I$79,0)))</f>
        <v>0</v>
      </c>
      <c r="J86" s="1">
        <f>IF(G84="",0,IF(F84=G84,J$79,IF(F84&lt;G84,I$79,0)))</f>
        <v>0</v>
      </c>
      <c r="K86" s="1">
        <v>4</v>
      </c>
      <c r="L86" s="1">
        <f>IF(OR(Q$83+Q$84+Q$85=3*Q$83,Q$86+Q$84+Q$85=3*Q$86,AE86+AK86+AQ86=0),K86,AE86+AK86+AQ86)</f>
        <v>4</v>
      </c>
      <c r="M86" s="22">
        <f>INT(VLOOKUP($K86,$A$111:$G$115,2,0))</f>
        <v>10110</v>
      </c>
      <c r="N86" s="26" t="str">
        <f>IF(M86=M85,"",K86)</f>
        <v/>
      </c>
      <c r="O86" s="27" t="str">
        <f>VLOOKUP($K86,$A$111:$G$115,3,0)</f>
        <v>Japan</v>
      </c>
      <c r="P86" s="28">
        <f>VLOOKUP($K86,$A$111:$K$115,11,0)</f>
        <v>0</v>
      </c>
      <c r="Q86" s="25">
        <f>VLOOKUP($K86,$A$111:$G$115,4,0)</f>
        <v>0</v>
      </c>
      <c r="R86" s="30">
        <f>VLOOKUP($K86,$A$111:$G$115,5,0)</f>
        <v>0</v>
      </c>
      <c r="S86" s="30">
        <f>VLOOKUP($K86,$A$111:$G$115,6,0)</f>
        <v>0</v>
      </c>
      <c r="T86" s="31">
        <f>VLOOKUP($K86,$A$111:$G$115,7,0)</f>
        <v>0</v>
      </c>
      <c r="U86" s="32">
        <f>VLOOKUP($K86,$A$111:$M$115,12,0)</f>
        <v>0</v>
      </c>
      <c r="V86" s="33">
        <f>VLOOKUP($K86,$A$111:$M$115,13,0)</f>
        <v>0</v>
      </c>
      <c r="W86" s="34">
        <f>P86-U86-V86</f>
        <v>0</v>
      </c>
      <c r="X86" s="25" t="str">
        <f>VLOOKUP($K86,$A$111:$G$115,4,0)&amp;" "&amp;VLOOKUP($K86,$A$111:$P$115,15,0)</f>
        <v xml:space="preserve">0 </v>
      </c>
      <c r="Y86" s="1">
        <f>INT(VLOOKUP($K86,$A$111:$H$115,8,0))</f>
        <v>10000</v>
      </c>
      <c r="Z86" s="1">
        <f>IF(AND(Y$83=Y$84,OR(AND(D84=O$83,E84=O$84),AND(D84=O$84,E84=O$83))),4,0)</f>
        <v>0</v>
      </c>
      <c r="AA86" s="1" t="e">
        <f t="shared" si="24"/>
        <v>#N/A</v>
      </c>
      <c r="AB86" s="1" t="e">
        <f t="shared" si="25"/>
        <v>#N/A</v>
      </c>
      <c r="AC86" s="1" t="e">
        <f t="shared" si="26"/>
        <v>#N/A</v>
      </c>
      <c r="AD86" s="1" t="e">
        <f t="shared" si="27"/>
        <v>#N/A</v>
      </c>
      <c r="AF86" s="1">
        <f>IF(AND(Y$84=Y$85,OR(AND(D84=O$84,E84=O$85),AND(D84=O$85,E84=O$84))),4,0)</f>
        <v>0</v>
      </c>
      <c r="AG86" s="1" t="e">
        <f t="shared" si="28"/>
        <v>#N/A</v>
      </c>
      <c r="AH86" s="1" t="e">
        <f t="shared" si="29"/>
        <v>#N/A</v>
      </c>
      <c r="AI86" s="1" t="e">
        <f t="shared" si="30"/>
        <v>#N/A</v>
      </c>
      <c r="AJ86" s="1" t="e">
        <f t="shared" si="31"/>
        <v>#N/A</v>
      </c>
      <c r="AL86" s="1">
        <f>IF(AND($Y$85=$Y$86,OR(AND($D84=$O$85,$E84=$O$86),AND($D84=$O$86,$E84=$O$85))),4,0)</f>
        <v>0</v>
      </c>
      <c r="AM86" s="1" t="e">
        <f t="shared" si="32"/>
        <v>#N/A</v>
      </c>
      <c r="AN86" s="1" t="e">
        <f t="shared" si="33"/>
        <v>#N/A</v>
      </c>
      <c r="AO86" s="1" t="e">
        <f t="shared" si="34"/>
        <v>#N/A</v>
      </c>
      <c r="AP86" s="1" t="e">
        <f t="shared" si="35"/>
        <v>#N/A</v>
      </c>
      <c r="AQ86" s="1">
        <f>IF(AQ85=4,3,IF(AQ85=3,4,0))</f>
        <v>0</v>
      </c>
      <c r="AS86" s="26" t="str">
        <f>IF(AND(OR(AR$90=1,AE86+AK86+AQ86=0),M86=M85),"",4)</f>
        <v/>
      </c>
      <c r="AT86" s="27" t="str">
        <f>VLOOKUP($K86,$L$83:$W$86,4,0)</f>
        <v>Japan</v>
      </c>
      <c r="AU86" s="35">
        <f>VLOOKUP($K86,$L$83:$W$86,5,0)</f>
        <v>0</v>
      </c>
      <c r="AV86" s="29" t="str">
        <f>VLOOKUP($K86,$L$83:$X$86,13,0)</f>
        <v xml:space="preserve">0 </v>
      </c>
      <c r="AW86" s="30">
        <f>VLOOKUP($K86,$L$83:$W$86,7,0)</f>
        <v>0</v>
      </c>
      <c r="AX86" s="30">
        <f>VLOOKUP($K86,$L$83:$W$86,8,0)</f>
        <v>0</v>
      </c>
      <c r="AY86" s="31">
        <f>VLOOKUP($K86,$L$83:$W$86,9,0)</f>
        <v>0</v>
      </c>
      <c r="AZ86" s="67">
        <f>VLOOKUP($K86,$L$83:$W$86,10,0)</f>
        <v>0</v>
      </c>
      <c r="BA86" s="35">
        <f>VLOOKUP($K86,$L$83:$W$86,11,0)</f>
        <v>0</v>
      </c>
      <c r="BB86" s="68">
        <f>VLOOKUP($K86,$L$83:$W$86,12,0)</f>
        <v>0</v>
      </c>
    </row>
    <row r="87" spans="1:54" ht="15" hidden="1" outlineLevel="1">
      <c r="B87" s="48"/>
      <c r="D87" s="14"/>
      <c r="E87" s="14"/>
      <c r="F87" s="14"/>
      <c r="G87" s="14"/>
      <c r="I87" s="1">
        <f>IF(F85="",0,IF(F85=G85,J$79,IF(F85&gt;G85,I$79,0)))</f>
        <v>0</v>
      </c>
      <c r="J87" s="1">
        <f>IF(G85="",0,IF(F85=G85,J$79,IF(F85&lt;G85,I$79,0)))</f>
        <v>0</v>
      </c>
      <c r="K87" s="1">
        <v>5</v>
      </c>
      <c r="M87" s="22">
        <f>INT(VLOOKUP($K87,$A$111:$G$115,2,0))</f>
        <v>10510</v>
      </c>
      <c r="N87" s="14"/>
      <c r="O87" s="14"/>
      <c r="P87" s="14"/>
      <c r="Q87" s="14"/>
      <c r="R87" s="14"/>
      <c r="S87" s="14"/>
      <c r="T87" s="14"/>
      <c r="U87" s="14"/>
      <c r="V87" s="14"/>
      <c r="W87" s="14"/>
      <c r="Z87" s="1">
        <f>IF(AND(Y$83=Y$84,OR(AND(D85=O$83,E85=O$84),AND(D85=O$84,E85=O$83))),5,0)</f>
        <v>0</v>
      </c>
      <c r="AA87" s="1" t="e">
        <f t="shared" si="24"/>
        <v>#N/A</v>
      </c>
      <c r="AB87" s="1" t="e">
        <f t="shared" si="25"/>
        <v>#N/A</v>
      </c>
      <c r="AC87" s="1" t="e">
        <f t="shared" si="26"/>
        <v>#N/A</v>
      </c>
      <c r="AD87" s="1" t="e">
        <f t="shared" si="27"/>
        <v>#N/A</v>
      </c>
      <c r="AF87" s="1">
        <f>IF(AND(Y$84=Y$85,OR(AND(D85=O$84,E85=O$85),AND(D85=O$85,E85=O$84))),5,0)</f>
        <v>0</v>
      </c>
      <c r="AG87" s="1" t="e">
        <f t="shared" si="28"/>
        <v>#N/A</v>
      </c>
      <c r="AH87" s="1" t="e">
        <f t="shared" si="29"/>
        <v>#N/A</v>
      </c>
      <c r="AI87" s="1" t="e">
        <f t="shared" si="30"/>
        <v>#N/A</v>
      </c>
      <c r="AJ87" s="1" t="e">
        <f t="shared" si="31"/>
        <v>#N/A</v>
      </c>
      <c r="AL87" s="1">
        <f>IF(AND($Y$85=$Y$86,OR(AND($D85=$O$85,$E85=$O$86),AND($D85=$O$86,$E85=$O$85))),5,0)</f>
        <v>0</v>
      </c>
      <c r="AM87" s="1" t="e">
        <f t="shared" si="32"/>
        <v>#N/A</v>
      </c>
      <c r="AN87" s="1" t="e">
        <f t="shared" si="33"/>
        <v>#N/A</v>
      </c>
      <c r="AO87" s="1" t="e">
        <f t="shared" si="34"/>
        <v>#N/A</v>
      </c>
      <c r="AP87" s="1" t="e">
        <f t="shared" si="35"/>
        <v>#N/A</v>
      </c>
      <c r="AT87" s="24"/>
      <c r="AU87" s="22"/>
      <c r="AV87" s="25"/>
      <c r="AW87" s="18"/>
    </row>
    <row r="88" spans="1:54" hidden="1" outlineLevel="1">
      <c r="B88" s="48"/>
      <c r="D88" s="14"/>
      <c r="E88" s="14"/>
      <c r="F88" s="14"/>
      <c r="G88" s="14"/>
      <c r="I88" s="1">
        <f>IF(F94="",0,IF(F94=G94,J$79,IF(F94&gt;G94,I$79,0)))</f>
        <v>0</v>
      </c>
      <c r="J88" s="1">
        <f>IF(G94="",0,IF(F94=G94,J$79,IF(F94&lt;G94,I$79,0)))</f>
        <v>0</v>
      </c>
      <c r="P88" s="1">
        <f>SUM(P83:P87)</f>
        <v>0</v>
      </c>
      <c r="Z88" s="1">
        <f>IF(AND(Y$83=Y$84,OR(AND(D86=O$83,E86=O$84),AND(D86=O$84,E86=O$83))),6,0)</f>
        <v>0</v>
      </c>
      <c r="AA88" s="1" t="e">
        <f t="shared" si="24"/>
        <v>#N/A</v>
      </c>
      <c r="AB88" s="1" t="e">
        <f t="shared" si="25"/>
        <v>#N/A</v>
      </c>
      <c r="AC88" s="1" t="e">
        <f t="shared" si="26"/>
        <v>#N/A</v>
      </c>
      <c r="AD88" s="1" t="e">
        <f t="shared" si="27"/>
        <v>#N/A</v>
      </c>
      <c r="AF88" s="1">
        <f>IF(AND(Y$84=Y$85,OR(AND(D86=O$84,E86=O$85),AND(D86=O$85,E86=O$84))),6,0)</f>
        <v>6</v>
      </c>
      <c r="AG88" s="1" t="str">
        <f t="shared" si="28"/>
        <v>Griechenland</v>
      </c>
      <c r="AH88" s="1" t="str">
        <f t="shared" si="29"/>
        <v>Elfenbeinküste</v>
      </c>
      <c r="AI88" s="1">
        <f t="shared" si="30"/>
        <v>0</v>
      </c>
      <c r="AJ88" s="1">
        <f t="shared" si="31"/>
        <v>0</v>
      </c>
      <c r="AL88" s="1">
        <f>IF(AND($Y$85=$Y$86,OR(AND($D86=$O$85,$E86=$O$86),AND($D86=$O$86,$E86=$O$85))),6,0)</f>
        <v>0</v>
      </c>
      <c r="AM88" s="1" t="e">
        <f t="shared" si="32"/>
        <v>#N/A</v>
      </c>
      <c r="AN88" s="1" t="e">
        <f t="shared" si="33"/>
        <v>#N/A</v>
      </c>
      <c r="AO88" s="1" t="e">
        <f t="shared" si="34"/>
        <v>#N/A</v>
      </c>
      <c r="AP88" s="1" t="e">
        <f t="shared" si="35"/>
        <v>#N/A</v>
      </c>
      <c r="AR88" s="1">
        <f>IF(ISERROR(AC90),0,1)+IF(ISERROR(AI90),0,1)</f>
        <v>2</v>
      </c>
    </row>
    <row r="89" spans="1:54" hidden="1" outlineLevel="1">
      <c r="B89" s="48"/>
      <c r="D89" s="14"/>
      <c r="E89" s="14"/>
      <c r="F89" s="14"/>
      <c r="G89" s="14"/>
      <c r="I89" s="1">
        <f>IF(F86="",0,IF(F86=G86,J$79,IF(F86&gt;G86,I$79,0)))</f>
        <v>0</v>
      </c>
      <c r="J89" s="1">
        <f>IF(G86="",0,IF(F86=G86,J$79,IF(F86&lt;G86,I$79,0)))</f>
        <v>0</v>
      </c>
      <c r="AB89"/>
      <c r="AR89" s="1">
        <f>IF(ISERROR(AO90),0,1)+IF(ISERROR(AI90),0,1)</f>
        <v>2</v>
      </c>
    </row>
    <row r="90" spans="1:54" hidden="1" outlineLevel="1">
      <c r="B90" s="48"/>
      <c r="D90" s="14"/>
      <c r="E90" s="14"/>
      <c r="F90" s="14"/>
      <c r="G90" s="14"/>
      <c r="I90" s="1">
        <f>IF(F95="",0,IF(F95=G95,J$79,IF(F95&gt;G95,I$79,0)))</f>
        <v>0</v>
      </c>
      <c r="J90" s="1">
        <f>IF(G95="",0,IF(F95=G95,J$79,IF(F95&lt;G95,I$79,0)))</f>
        <v>0</v>
      </c>
      <c r="Z90" s="1">
        <f>MAX(Z83:Z88)</f>
        <v>1</v>
      </c>
      <c r="AA90" s="1" t="str">
        <f>VLOOKUP(Z90,Z83:AD88,2,0)</f>
        <v>Kolumbien</v>
      </c>
      <c r="AB90" s="1" t="str">
        <f>VLOOKUP(Z90,Z83:AD88,3,0)</f>
        <v>Griechenland</v>
      </c>
      <c r="AC90" s="1">
        <f>VLOOKUP(Z90,Z83:AD88,4,0)-VLOOKUP(Z90,Z83:AD88,5,0)</f>
        <v>0</v>
      </c>
      <c r="AF90" s="1">
        <f>MAX(AF83:AF88)</f>
        <v>6</v>
      </c>
      <c r="AG90" s="1" t="str">
        <f>VLOOKUP(AF90,AF83:AJ88,2,0)</f>
        <v>Griechenland</v>
      </c>
      <c r="AH90" s="1" t="str">
        <f>VLOOKUP(AF90,AF83:AJ88,3,0)</f>
        <v>Elfenbeinküste</v>
      </c>
      <c r="AI90" s="1">
        <f>VLOOKUP(AF90,AF83:AJ88,4,0)-VLOOKUP(AF90,AF83:AJ88,5,0)</f>
        <v>0</v>
      </c>
      <c r="AL90" s="1">
        <f>MAX(AL83:AL88)</f>
        <v>2</v>
      </c>
      <c r="AM90" s="1" t="str">
        <f>VLOOKUP(AL90,AL83:AP88,2,0)</f>
        <v>Elfenbeinküste</v>
      </c>
      <c r="AN90" s="1" t="str">
        <f>VLOOKUP(AL90,AL83:AP88,3,0)</f>
        <v>Japan</v>
      </c>
      <c r="AO90" s="1">
        <f>VLOOKUP(AL90,AL83:AP88,4,0)-VLOOKUP(AL90,AL83:AP88,5,0)</f>
        <v>0</v>
      </c>
      <c r="AR90" s="1">
        <f>IF(OR(AR88=2,AR89=2),1,0)</f>
        <v>1</v>
      </c>
    </row>
    <row r="91" spans="1:54" hidden="1" outlineLevel="1">
      <c r="B91" s="48"/>
    </row>
    <row r="92" spans="1:54" ht="15.75" hidden="1" outlineLevel="1" thickBot="1">
      <c r="B92" s="49" t="s">
        <v>12</v>
      </c>
      <c r="D92" s="3" t="str">
        <f>B$92</f>
        <v>#######</v>
      </c>
      <c r="E92" s="3" t="str">
        <f>B83</f>
        <v>Kolumbien</v>
      </c>
      <c r="F92" s="5"/>
      <c r="G92" s="6"/>
      <c r="N92" s="26">
        <f>IF(M87=M86,"",K87)</f>
        <v>5</v>
      </c>
      <c r="O92" s="27" t="str">
        <f>VLOOKUP($K87,$A$111:$G$115,3,0)</f>
        <v>#######</v>
      </c>
      <c r="P92" s="28">
        <f>VLOOKUP($K87,$A$111:$K$115,11,0)</f>
        <v>0</v>
      </c>
      <c r="Q92" s="29">
        <f>VLOOKUP($K87,$A$111:$G$115,4,0)</f>
        <v>0</v>
      </c>
      <c r="R92" s="30">
        <f>VLOOKUP($K87,$A$111:$G$115,5,0)</f>
        <v>-100</v>
      </c>
      <c r="S92" s="30">
        <f>VLOOKUP($K87,$A$111:$G$115,6,0)</f>
        <v>0</v>
      </c>
      <c r="T92" s="31">
        <f>VLOOKUP($K87,$A$111:$G$115,7,0)</f>
        <v>-100</v>
      </c>
      <c r="U92" s="32">
        <f>VLOOKUP($K87,$A$111:$M$115,12,0)</f>
        <v>0</v>
      </c>
      <c r="V92" s="33">
        <f>VLOOKUP($K87,$A$111:$M$115,13,0)</f>
        <v>0</v>
      </c>
      <c r="W92" s="34">
        <f>P92-U92-V92</f>
        <v>0</v>
      </c>
    </row>
    <row r="93" spans="1:54" hidden="1" outlineLevel="1">
      <c r="B93" s="48"/>
      <c r="D93" s="3" t="str">
        <f>B$86</f>
        <v>Japan</v>
      </c>
      <c r="E93" s="3" t="str">
        <f>B92</f>
        <v>#######</v>
      </c>
      <c r="F93" s="5"/>
      <c r="G93" s="6"/>
      <c r="AA93" s="5"/>
      <c r="AB93" s="6"/>
    </row>
    <row r="94" spans="1:54" hidden="1" outlineLevel="1">
      <c r="B94" s="48"/>
      <c r="D94" s="3" t="str">
        <f>B92</f>
        <v>#######</v>
      </c>
      <c r="E94" s="3" t="str">
        <f>B84</f>
        <v>Griechenland</v>
      </c>
      <c r="F94" s="5"/>
      <c r="G94" s="6"/>
      <c r="AA94" s="5"/>
      <c r="AB94" s="6"/>
    </row>
    <row r="95" spans="1:54" hidden="1" outlineLevel="1">
      <c r="B95" s="48"/>
      <c r="D95" s="3" t="str">
        <f>B85</f>
        <v>Elfenbeinküste</v>
      </c>
      <c r="E95" s="3" t="str">
        <f>B92</f>
        <v>#######</v>
      </c>
      <c r="F95" s="5"/>
      <c r="G95" s="6"/>
      <c r="AA95" s="5"/>
      <c r="AB95" s="6"/>
    </row>
    <row r="96" spans="1:54" hidden="1" outlineLevel="1">
      <c r="B96" s="48"/>
      <c r="AA96" s="5"/>
      <c r="AB96" s="6"/>
    </row>
    <row r="97" spans="1:28" hidden="1" outlineLevel="1">
      <c r="B97" s="48"/>
      <c r="D97" s="3" t="str">
        <f>B83</f>
        <v>Kolumbien</v>
      </c>
      <c r="G97" s="1" t="str">
        <f>B84</f>
        <v>Griechenland</v>
      </c>
      <c r="J97" s="1" t="str">
        <f>B85</f>
        <v>Elfenbeinküste</v>
      </c>
      <c r="M97" s="1" t="str">
        <f>B86</f>
        <v>Japan</v>
      </c>
      <c r="P97" s="1" t="str">
        <f>B92</f>
        <v>#######</v>
      </c>
      <c r="AA97" s="5"/>
      <c r="AB97" s="6"/>
    </row>
    <row r="98" spans="1:28" hidden="1" outlineLevel="1">
      <c r="B98" s="48"/>
      <c r="D98" s="3" t="s">
        <v>13</v>
      </c>
      <c r="E98" s="36" t="s">
        <v>4</v>
      </c>
      <c r="F98" s="21" t="s">
        <v>14</v>
      </c>
      <c r="G98" s="22" t="s">
        <v>13</v>
      </c>
      <c r="H98" s="60" t="s">
        <v>4</v>
      </c>
      <c r="I98" s="21" t="s">
        <v>14</v>
      </c>
      <c r="J98" s="22" t="s">
        <v>13</v>
      </c>
      <c r="K98" s="37" t="s">
        <v>4</v>
      </c>
      <c r="L98" s="21" t="s">
        <v>14</v>
      </c>
      <c r="M98" s="22" t="s">
        <v>13</v>
      </c>
      <c r="N98" s="37" t="s">
        <v>4</v>
      </c>
      <c r="O98" s="21" t="s">
        <v>14</v>
      </c>
      <c r="P98" s="22" t="s">
        <v>13</v>
      </c>
      <c r="Q98" s="37" t="s">
        <v>4</v>
      </c>
      <c r="R98" s="21" t="s">
        <v>14</v>
      </c>
      <c r="AA98" s="5"/>
      <c r="AB98" s="6"/>
    </row>
    <row r="99" spans="1:28" hidden="1" outlineLevel="1">
      <c r="B99" s="48"/>
      <c r="D99" s="3" t="str">
        <f>IF(AND(OR($D81=D$97,$E81=D$97),$F81=""),"A",IF($D81=D$97,$I81,0)+IF($E81=D$97,$J81,0))</f>
        <v>A</v>
      </c>
      <c r="E99" s="3">
        <f>IF($D81=D$97,$F81,0)+IF($E81=D$97,$G81,0)</f>
        <v>0</v>
      </c>
      <c r="F99" s="1">
        <f>IF($D81=D$97,-$G81,0)+IF($E81=D$97,-$F81,0)</f>
        <v>0</v>
      </c>
      <c r="G99" s="22" t="str">
        <f>IF(AND(OR($D81=G$97,$E81=G$97),$F81=""),"A",IF($D81=G$97,$I81,0)+IF($E81=G$97,$J81,0))</f>
        <v>A</v>
      </c>
      <c r="H99" s="59">
        <f>IF($D81=G$97,$F81,0)+IF($E81=G$97,$G81,0)</f>
        <v>0</v>
      </c>
      <c r="I99" s="1">
        <f>IF($D81=G$97,-$G81,0)+IF($E81=G$97,-$F81,0)</f>
        <v>0</v>
      </c>
      <c r="J99" s="22">
        <f>IF(AND(OR($D81=J$97,$E81=J$97),$F81=""),"A",IF($D81=J$97,$I81,0)+IF($E81=J$97,$J81,0))</f>
        <v>0</v>
      </c>
      <c r="K99" s="22">
        <f>IF($D81=J$97,$F81,0)+IF($E81=J$97,$G81,0)</f>
        <v>0</v>
      </c>
      <c r="L99" s="1">
        <f>IF($D81=J$97,-$G81,0)+IF($E81=J$97,-$F81,0)</f>
        <v>0</v>
      </c>
      <c r="M99" s="22">
        <f>IF(AND(OR($D81=M$97,$E81=M$97),$F81=""),"A",IF($D81=M$97,$I81,0)+IF($E81=M$97,$J81,0))</f>
        <v>0</v>
      </c>
      <c r="N99" s="22">
        <f>IF($D81=M$97,$F81,0)+IF($E81=M$97,$G81,0)</f>
        <v>0</v>
      </c>
      <c r="O99" s="1">
        <f>IF($D81=M$97,-$G81,0)+IF($E81=M$97,-$F81,0)</f>
        <v>0</v>
      </c>
      <c r="P99" s="22">
        <f>IF(AND(OR($D81=P$97,$E81=P$97),$F81=""),"A",IF($D81=P$97,$I81,0)+IF($E81=P$97,$J81,0))</f>
        <v>0</v>
      </c>
      <c r="Q99" s="22">
        <f>IF($D81=P$97,$F81,0)+IF($E81=P$97,$G81,0)</f>
        <v>0</v>
      </c>
      <c r="R99" s="1">
        <f>IF($D81=P$97,-$G81,0)+IF($E81=P$97,-$F81,0)</f>
        <v>0</v>
      </c>
    </row>
    <row r="100" spans="1:28" hidden="1" outlineLevel="1">
      <c r="B100" s="48"/>
      <c r="D100" s="3">
        <f>IF(AND(OR($D82=D$97,$E82=D$97),$F82=""),"A",IF($D82=D$97,$I82,0)+IF($E82=D$97,$J82,0))</f>
        <v>0</v>
      </c>
      <c r="E100" s="3">
        <f>IF($D82=$B$83,$F82,0)+IF($E82=$B$83,$G82,0)</f>
        <v>0</v>
      </c>
      <c r="F100" s="1">
        <f>IF($D82=$B$83,-$G82,0)+IF($E82=$B$83,-$F82,0)</f>
        <v>0</v>
      </c>
      <c r="G100" s="22">
        <f>IF(AND(OR($D82=G$97,$E82=G$97),$F82=""),"A",IF($D82=G$97,$I82,0)+IF($E82=G$97,$J82,0))</f>
        <v>0</v>
      </c>
      <c r="H100" s="59">
        <f>IF($D82=G$97,$F82,0)+IF($E82=G$97,$G82,0)</f>
        <v>0</v>
      </c>
      <c r="I100" s="1">
        <f>IF($D82=G$97,-$G82,0)+IF($E82=G$97,-$F82,0)</f>
        <v>0</v>
      </c>
      <c r="J100" s="22" t="str">
        <f>IF(AND(OR($D82=J$97,$E82=J$97),$F82=""),"A",IF($D82=J$97,$I82,0)+IF($E82=J$97,$J82,0))</f>
        <v>A</v>
      </c>
      <c r="K100" s="22">
        <f>IF($D82=J$97,$F82,0)+IF($E82=J$97,$G82,0)</f>
        <v>0</v>
      </c>
      <c r="L100" s="1">
        <f>IF($D82=J$97,-$G82,0)+IF($E82=J$97,-$F82,0)</f>
        <v>0</v>
      </c>
      <c r="M100" s="22" t="str">
        <f>IF(AND(OR($D82=M$97,$E82=M$97),$F82=""),"A",IF($D82=M$97,$I82,0)+IF($E82=M$97,$J82,0))</f>
        <v>A</v>
      </c>
      <c r="N100" s="22">
        <f>IF($D82=M$97,$F82,0)+IF($E82=M$97,$G82,0)</f>
        <v>0</v>
      </c>
      <c r="O100" s="1">
        <f>IF($D82=M$97,-$G82,0)+IF($E82=M$97,-$F82,0)</f>
        <v>0</v>
      </c>
      <c r="P100" s="22">
        <f>IF(AND(OR($D82=P$97,$E82=P$97),$F82=""),"A",IF($D82=P$97,$I82,0)+IF($E82=P$97,$J82,0))</f>
        <v>0</v>
      </c>
      <c r="Q100" s="22">
        <f>IF($D82=P$97,$F82,0)+IF($E82=P$97,$G82,0)</f>
        <v>0</v>
      </c>
      <c r="R100" s="1">
        <f>IF($D82=P$97,-$G82,0)+IF($E82=P$97,-$F82,0)</f>
        <v>0</v>
      </c>
    </row>
    <row r="101" spans="1:28" hidden="1" outlineLevel="1">
      <c r="B101" s="48"/>
      <c r="D101" s="3" t="str">
        <f>IF(AND(OR($D92=D$97,$E92=D$97),$F92=""),"A",IF($D92=D$97,$I83,0)+IF($E92=D$97,$J83,0))</f>
        <v>A</v>
      </c>
      <c r="E101" s="3">
        <f>IF($D92=$B$83,$F92,0)+IF($E92=$B$83,$G92,0)</f>
        <v>0</v>
      </c>
      <c r="F101" s="1">
        <f>IF($D92=$B$83,-$G92,0)+IF($E92=$B$83,-$F92,0)</f>
        <v>0</v>
      </c>
      <c r="G101" s="22">
        <f>IF(AND(OR($D92=G$97,$E92=G$97),$F92=""),"A",IF($D92=G$97,$I83,0)+IF($E92=G$97,$J83,0))</f>
        <v>0</v>
      </c>
      <c r="H101" s="59">
        <f>IF($D92=G$97,$F92,0)+IF($E92=G$97,$G92,0)</f>
        <v>0</v>
      </c>
      <c r="I101" s="1">
        <f>IF($D92=G$97,-$G92,0)+IF($E92=G$97,-$F92,0)</f>
        <v>0</v>
      </c>
      <c r="J101" s="22">
        <f>IF(AND(OR($D92=J$97,$E92=J$97),$F92=""),"A",IF($D92=J$97,$I83,0)+IF($E92=J$97,$J83,0))</f>
        <v>0</v>
      </c>
      <c r="K101" s="22">
        <f>IF($D92=J$97,$F92,0)+IF($E92=J$97,$G92,0)</f>
        <v>0</v>
      </c>
      <c r="L101" s="1">
        <f>IF($D92=J$97,-$G92,0)+IF($E92=J$97,-$F92,0)</f>
        <v>0</v>
      </c>
      <c r="M101" s="22">
        <f>IF(AND(OR($D92=M$97,$E92=M$97),$F92=""),"A",IF($D92=M$97,$I83,0)+IF($E92=M$97,$J83,0))</f>
        <v>0</v>
      </c>
      <c r="N101" s="22">
        <f>IF($D92=M$97,$F92,0)+IF($E92=M$97,$G92,0)</f>
        <v>0</v>
      </c>
      <c r="O101" s="1">
        <f>IF($D92=M$97,-$G92,0)+IF($E92=M$97,-$F92,0)</f>
        <v>0</v>
      </c>
      <c r="P101" s="22" t="str">
        <f>IF(AND(OR($D92=P$97,$E92=P$97),$F92=""),"A",IF($D92=P$97,$I83,0)+IF($E92=P$97,$J83,0))</f>
        <v>A</v>
      </c>
      <c r="Q101" s="22">
        <f>IF($D92=P$97,$F92,0)+IF($E92=P$97,$G92,0)</f>
        <v>0</v>
      </c>
      <c r="R101" s="1">
        <f>IF($D92=P$97,-$G92,0)+IF($E92=P$97,-$F92,0)</f>
        <v>0</v>
      </c>
    </row>
    <row r="102" spans="1:28" hidden="1" outlineLevel="1">
      <c r="B102" s="48"/>
      <c r="D102" s="3" t="str">
        <f>IF(AND(OR($D83=D$97,$E83=D$97),$F83=""),"A",IF($D83=D$97,$I84,0)+IF($E83=D$97,$J84,0))</f>
        <v>A</v>
      </c>
      <c r="E102" s="3">
        <f>IF($D83=$B$83,$F83,0)+IF($E83=$B$83,$G83,0)</f>
        <v>0</v>
      </c>
      <c r="F102" s="1">
        <f>IF($D83=$B$83,-$G83,0)+IF($E83=$B$83,-$F83,0)</f>
        <v>0</v>
      </c>
      <c r="G102" s="22">
        <f>IF(AND(OR($D83=G$97,$E83=G$97),$F83=""),"A",IF($D83=G$97,$I84,0)+IF($E83=G$97,$J84,0))</f>
        <v>0</v>
      </c>
      <c r="H102" s="59">
        <f>IF($D83=G$97,$F83,0)+IF($E83=G$97,$G83,0)</f>
        <v>0</v>
      </c>
      <c r="I102" s="1">
        <f>IF($D83=G$97,-$G83,0)+IF($E83=G$97,-$F83,0)</f>
        <v>0</v>
      </c>
      <c r="J102" s="22" t="str">
        <f>IF(AND(OR($D83=J$97,$E83=J$97),$F83=""),"A",IF($D83=J$97,$I84,0)+IF($E83=J$97,$J84,0))</f>
        <v>A</v>
      </c>
      <c r="K102" s="22">
        <f>IF($D83=J$97,$F83,0)+IF($E83=J$97,$G83,0)</f>
        <v>0</v>
      </c>
      <c r="L102" s="1">
        <f>IF($D83=J$97,-$G83,0)+IF($E83=J$97,-$F83,0)</f>
        <v>0</v>
      </c>
      <c r="M102" s="22">
        <f>IF(AND(OR($D83=M$97,$E83=M$97),$F83=""),"A",IF($D83=M$97,$I84,0)+IF($E83=M$97,$J84,0))</f>
        <v>0</v>
      </c>
      <c r="N102" s="22">
        <f>IF($D83=M$97,$F83,0)+IF($E83=M$97,$G83,0)</f>
        <v>0</v>
      </c>
      <c r="O102" s="1">
        <f>IF($D83=M$97,-$G83,0)+IF($E83=M$97,-$F83,0)</f>
        <v>0</v>
      </c>
      <c r="P102" s="22">
        <f>IF(AND(OR($D83=P$97,$E83=P$97),$F83=""),"A",IF($D83=P$97,$I84,0)+IF($E83=P$97,$J84,0))</f>
        <v>0</v>
      </c>
      <c r="Q102" s="22">
        <f>IF($D83=P$97,$F83,0)+IF($E83=P$97,$G83,0)</f>
        <v>0</v>
      </c>
      <c r="R102" s="1">
        <f>IF($D83=P$97,-$G83,0)+IF($E83=P$97,-$F83,0)</f>
        <v>0</v>
      </c>
    </row>
    <row r="103" spans="1:28" hidden="1" outlineLevel="1">
      <c r="B103" s="48"/>
      <c r="D103" s="3">
        <f>IF(AND(OR($D93=D$97,$E93=D$97),$F93=""),"A",IF($D93=D$97,$I85,0)+IF($E93=D$97,$J85,0))</f>
        <v>0</v>
      </c>
      <c r="E103" s="3">
        <f>IF($D93=$B$83,$F93,0)+IF($E93=$B$83,$G93,0)</f>
        <v>0</v>
      </c>
      <c r="F103" s="1">
        <f>IF($D93=$B$83,-$G93,0)+IF($E93=$B$83,-$F93,0)</f>
        <v>0</v>
      </c>
      <c r="G103" s="22">
        <f>IF(AND(OR($D93=G$97,$E93=G$97),$F93=""),"A",IF($D93=G$97,$I85,0)+IF($E93=G$97,$J85,0))</f>
        <v>0</v>
      </c>
      <c r="H103" s="59">
        <f>IF($D93=G$97,$F93,0)+IF($E93=G$97,$G93,0)</f>
        <v>0</v>
      </c>
      <c r="I103" s="1">
        <f>IF($D93=G$97,-$G93,0)+IF($E93=G$97,-$F93,0)</f>
        <v>0</v>
      </c>
      <c r="J103" s="22">
        <f>IF(AND(OR($D93=J$97,$E93=J$97),$F93=""),"A",IF($D93=J$97,$I85,0)+IF($E93=J$97,$J85,0))</f>
        <v>0</v>
      </c>
      <c r="K103" s="22">
        <f>IF($D93=J$97,$F93,0)+IF($E93=J$97,$G93,0)</f>
        <v>0</v>
      </c>
      <c r="L103" s="1">
        <f>IF($D93=J$97,-$G93,0)+IF($E93=J$97,-$F93,0)</f>
        <v>0</v>
      </c>
      <c r="M103" s="22" t="str">
        <f>IF(AND(OR($D93=M$97,$E93=M$97),$F93=""),"A",IF($D93=M$97,$I85,0)+IF($E93=M$97,$J85,0))</f>
        <v>A</v>
      </c>
      <c r="N103" s="22">
        <f>IF($D93=M$97,$F93,0)+IF($E93=M$97,$G93,0)</f>
        <v>0</v>
      </c>
      <c r="O103" s="1">
        <f>IF($D93=M$97,-$G93,0)+IF($E93=M$97,-$F93,0)</f>
        <v>0</v>
      </c>
      <c r="P103" s="22" t="str">
        <f>IF(AND(OR($D93=P$97,$E93=P$97),$F93=""),"A",IF($D93=P$97,$I85,0)+IF($E93=P$97,$J85,0))</f>
        <v>A</v>
      </c>
      <c r="Q103" s="22">
        <f>IF($D93=P$97,$F93,0)+IF($E93=P$97,$G93,0)</f>
        <v>0</v>
      </c>
      <c r="R103" s="1">
        <f>IF($D93=P$97,-$G93,0)+IF($E93=P$97,-$F93,0)</f>
        <v>0</v>
      </c>
    </row>
    <row r="104" spans="1:28" hidden="1" outlineLevel="1">
      <c r="B104" s="48"/>
      <c r="D104" s="3">
        <f>IF(AND(OR($D84=D$97,$E84=D$97),$F84=""),"A",IF($D84=D$97,$I86,0)+IF($E84=D$97,$J86,0))</f>
        <v>0</v>
      </c>
      <c r="E104" s="3">
        <f>IF($D84=$B$83,$F84,0)+IF($E84=$B$83,$G84,0)</f>
        <v>0</v>
      </c>
      <c r="F104" s="1">
        <f>IF($D84=$B$83,-$G84,0)+IF($E84=$B$83,-$F84,0)</f>
        <v>0</v>
      </c>
      <c r="G104" s="22" t="str">
        <f>IF(AND(OR($D84=G$97,$E84=G$97),$F84=""),"A",IF($D84=G$97,$I86,0)+IF($E84=G$97,$J86,0))</f>
        <v>A</v>
      </c>
      <c r="H104" s="59">
        <f>IF($D84=G$97,$F84,0)+IF($E84=G$97,$G84,0)</f>
        <v>0</v>
      </c>
      <c r="I104" s="1">
        <f>IF($D84=G$97,-$G84,0)+IF($E84=G$97,-$F84,0)</f>
        <v>0</v>
      </c>
      <c r="J104" s="22">
        <f>IF(AND(OR($D84=J$97,$E84=J$97),$F84=""),"A",IF($D84=J$97,$I86,0)+IF($E84=J$97,$J86,0))</f>
        <v>0</v>
      </c>
      <c r="K104" s="22">
        <f>IF($D84=J$97,$F84,0)+IF($E84=J$97,$G84,0)</f>
        <v>0</v>
      </c>
      <c r="L104" s="1">
        <f>IF($D84=J$97,-$G84,0)+IF($E84=J$97,-$F84,0)</f>
        <v>0</v>
      </c>
      <c r="M104" s="22" t="str">
        <f>IF(AND(OR($D84=M$97,$E84=M$97),$F84=""),"A",IF($D84=M$97,$I86,0)+IF($E84=M$97,$J86,0))</f>
        <v>A</v>
      </c>
      <c r="N104" s="22">
        <f>IF($D84=M$97,$F84,0)+IF($E84=M$97,$G84,0)</f>
        <v>0</v>
      </c>
      <c r="O104" s="1">
        <f>IF($D84=M$97,-$G84,0)+IF($E84=M$97,-$F84,0)</f>
        <v>0</v>
      </c>
      <c r="P104" s="22">
        <f>IF(AND(OR($D84=P$97,$E84=P$97),$F84=""),"A",IF($D84=P$97,$I86,0)+IF($E84=P$97,$J86,0))</f>
        <v>0</v>
      </c>
      <c r="Q104" s="22">
        <f>IF($D84=P$97,$F84,0)+IF($E84=P$97,$G84,0)</f>
        <v>0</v>
      </c>
      <c r="R104" s="1">
        <f>IF($D84=P$97,-$G84,0)+IF($E84=P$97,-$F84,0)</f>
        <v>0</v>
      </c>
    </row>
    <row r="105" spans="1:28" hidden="1" outlineLevel="1">
      <c r="B105" s="48"/>
      <c r="D105" s="3" t="str">
        <f>IF(AND(OR($D85=D$97,$E85=D$97),$F85=""),"A",IF($D85=D$97,$I87,0)+IF($E85=D$97,$J87,0))</f>
        <v>A</v>
      </c>
      <c r="E105" s="3">
        <f>IF($D85=$B$83,$F85,0)+IF($E85=$B$83,$G85,0)</f>
        <v>0</v>
      </c>
      <c r="F105" s="1">
        <f>IF($D85=$B$83,-$G85,0)+IF($E85=$B$83,-$F85,0)</f>
        <v>0</v>
      </c>
      <c r="G105" s="22">
        <f>IF(AND(OR($D85=G$97,$E85=G$97),$F85=""),"A",IF($D85=G$97,$I87,0)+IF($E85=G$97,$J87,0))</f>
        <v>0</v>
      </c>
      <c r="H105" s="59">
        <f>IF($D85=G$97,$F85,0)+IF($E85=G$97,$G85,0)</f>
        <v>0</v>
      </c>
      <c r="I105" s="1">
        <f>IF($D85=G$97,-$G85,0)+IF($E85=G$97,-$F85,0)</f>
        <v>0</v>
      </c>
      <c r="J105" s="22">
        <f>IF(AND(OR($D85=J$97,$E85=J$97),$F85=""),"A",IF($D85=J$97,$I87,0)+IF($E85=J$97,$J87,0))</f>
        <v>0</v>
      </c>
      <c r="K105" s="22">
        <f>IF($D85=J$97,$F85,0)+IF($E85=J$97,$G85,0)</f>
        <v>0</v>
      </c>
      <c r="L105" s="1">
        <f>IF($D85=J$97,-$G85,0)+IF($E85=J$97,-$F85,0)</f>
        <v>0</v>
      </c>
      <c r="M105" s="22" t="str">
        <f>IF(AND(OR($D85=M$97,$E85=M$97),$F85=""),"A",IF($D85=M$97,$I87,0)+IF($E85=M$97,$J87,0))</f>
        <v>A</v>
      </c>
      <c r="N105" s="22">
        <f>IF($D85=M$97,$F85,0)+IF($E85=M$97,$G85,0)</f>
        <v>0</v>
      </c>
      <c r="O105" s="1">
        <f>IF($D85=M$97,-$G85,0)+IF($E85=M$97,-$F85,0)</f>
        <v>0</v>
      </c>
      <c r="P105" s="22">
        <f>IF(AND(OR($D85=P$97,$E85=P$97),$F85=""),"A",IF($D85=P$97,$I87,0)+IF($E85=P$97,$J87,0))</f>
        <v>0</v>
      </c>
      <c r="Q105" s="22">
        <f>IF($D85=P$97,$F85,0)+IF($E85=P$97,$G85,0)</f>
        <v>0</v>
      </c>
      <c r="R105" s="1">
        <f>IF($D85=P$97,-$G85,0)+IF($E85=P$97,-$F85,0)</f>
        <v>0</v>
      </c>
    </row>
    <row r="106" spans="1:28" hidden="1" outlineLevel="1">
      <c r="B106" s="48"/>
      <c r="D106" s="3">
        <f>IF(AND(OR($D94=D$97,$E94=D$97),$F94=""),"A",IF($D94=D$97,$I88,0)+IF($E94=D$97,$J88,0))</f>
        <v>0</v>
      </c>
      <c r="E106" s="3">
        <f>IF($D94=$B$83,$F94,0)+IF($E94=$B$83,$G94,0)</f>
        <v>0</v>
      </c>
      <c r="F106" s="1">
        <f>IF($D94=$B$83,-$G94,0)+IF($E94=$B$83,-$F94,0)</f>
        <v>0</v>
      </c>
      <c r="G106" s="22" t="str">
        <f>IF(AND(OR($D94=G$97,$E94=G$97),$F94=""),"A",IF($D94=G$97,$I88,0)+IF($E94=G$97,$J88,0))</f>
        <v>A</v>
      </c>
      <c r="H106" s="59">
        <f>IF($D94=G$97,$F94,0)+IF($E94=G$97,$G94,0)</f>
        <v>0</v>
      </c>
      <c r="I106" s="1">
        <f>IF($D94=G$97,-$G94,0)+IF($E94=G$97,-$F94,0)</f>
        <v>0</v>
      </c>
      <c r="J106" s="22">
        <f>IF(AND(OR($D94=J$97,$E94=J$97),$F94=""),"A",IF($D94=J$97,$I88,0)+IF($E94=J$97,$J88,0))</f>
        <v>0</v>
      </c>
      <c r="K106" s="22">
        <f>IF($D94=J$97,$F94,0)+IF($E94=J$97,$G94,0)</f>
        <v>0</v>
      </c>
      <c r="L106" s="1">
        <f>IF($D94=J$97,-$G94,0)+IF($E94=J$97,-$F94,0)</f>
        <v>0</v>
      </c>
      <c r="M106" s="22">
        <f>IF(AND(OR($D94=M$97,$E94=M$97),$F94=""),"A",IF($D94=M$97,$I88,0)+IF($E94=M$97,$J88,0))</f>
        <v>0</v>
      </c>
      <c r="N106" s="22">
        <f>IF($D94=M$97,$F94,0)+IF($E94=M$97,$G94,0)</f>
        <v>0</v>
      </c>
      <c r="O106" s="1">
        <f>IF($D94=M$97,-$G94,0)+IF($E94=M$97,-$F94,0)</f>
        <v>0</v>
      </c>
      <c r="P106" s="22" t="str">
        <f>IF(AND(OR($D94=P$97,$E94=P$97),$F94=""),"A",IF($D94=P$97,$I88,0)+IF($E94=P$97,$J88,0))</f>
        <v>A</v>
      </c>
      <c r="Q106" s="22">
        <f>IF($D94=P$97,$F94,0)+IF($E94=P$97,$G94,0)</f>
        <v>0</v>
      </c>
      <c r="R106" s="1">
        <f>IF($D94=P$97,-$G94,0)+IF($E94=P$97,-$F94,0)</f>
        <v>0</v>
      </c>
    </row>
    <row r="107" spans="1:28" hidden="1" outlineLevel="1">
      <c r="B107" s="48"/>
      <c r="D107" s="3">
        <f>IF(AND(OR($D86=D$97,$E86=D$97),$F86=""),"A",IF($D86=D$97,$I89,0)+IF($E86=D$97,$J89,0))</f>
        <v>0</v>
      </c>
      <c r="E107" s="3">
        <f>IF($D86=$B$83,$F86,0)+IF($E86=$B$83,$G86,0)</f>
        <v>0</v>
      </c>
      <c r="F107" s="1">
        <f>IF($D86=$B$83,-$G86,0)+IF($E86=$B$83,-$F86,0)</f>
        <v>0</v>
      </c>
      <c r="G107" s="22" t="str">
        <f>IF(AND(OR($D86=G$97,$E86=G$97),$F86=""),"A",IF($D86=G$97,$I89,0)+IF($E86=G$97,$J89,0))</f>
        <v>A</v>
      </c>
      <c r="H107" s="59">
        <f>IF($D86=G$97,$F86,0)+IF($E86=G$97,$G86,0)</f>
        <v>0</v>
      </c>
      <c r="I107" s="1">
        <f>IF($D86=G$97,-$G86,0)+IF($E86=G$97,-$F86,0)</f>
        <v>0</v>
      </c>
      <c r="J107" s="22" t="str">
        <f>IF(AND(OR($D86=J$97,$E86=J$97),$F86=""),"A",IF($D86=J$97,$I89,0)+IF($E86=J$97,$J89,0))</f>
        <v>A</v>
      </c>
      <c r="K107" s="22">
        <f>IF($D86=J$97,$F86,0)+IF($E86=J$97,$G86,0)</f>
        <v>0</v>
      </c>
      <c r="L107" s="1">
        <f>IF($D86=J$97,-$G86,0)+IF($E86=J$97,-$F86,0)</f>
        <v>0</v>
      </c>
      <c r="M107" s="22">
        <f>IF(AND(OR($D86=M$97,$E86=M$97),$F86=""),"A",IF($D86=M$97,$I89,0)+IF($E86=M$97,$J89,0))</f>
        <v>0</v>
      </c>
      <c r="N107" s="22">
        <f>IF($D86=M$97,$F86,0)+IF($E86=M$97,$G86,0)</f>
        <v>0</v>
      </c>
      <c r="O107" s="1">
        <f>IF($D86=M$97,-$G86,0)+IF($E86=M$97,-$F86,0)</f>
        <v>0</v>
      </c>
      <c r="P107" s="22">
        <f>IF(AND(OR($D86=P$97,$E86=P$97),$F86=""),"A",IF($D86=P$97,$I89,0)+IF($E86=P$97,$J89,0))</f>
        <v>0</v>
      </c>
      <c r="Q107" s="22">
        <f>IF($D86=P$97,$F86,0)+IF($E86=P$97,$G86,0)</f>
        <v>0</v>
      </c>
      <c r="R107" s="1">
        <f>IF($D86=P$97,-$G86,0)+IF($E86=P$97,-$F86,0)</f>
        <v>0</v>
      </c>
    </row>
    <row r="108" spans="1:28" hidden="1" outlineLevel="1">
      <c r="B108" s="48"/>
      <c r="D108" s="3">
        <f>IF(AND(OR($D95=D$97,$E95=D$97),$F95=""),"A",IF($D95=D$97,$I90,0)+IF($E95=D$97,$J90,0))</f>
        <v>0</v>
      </c>
      <c r="E108" s="3">
        <f>IF($D95=$B$83,$F95,0)+IF($E95=$B$83,$G95,0)</f>
        <v>0</v>
      </c>
      <c r="F108" s="1">
        <f>IF($D95=$B$83,-$G95,0)+IF($E95=$B$83,-$F95,0)</f>
        <v>0</v>
      </c>
      <c r="G108" s="22">
        <f>IF(AND(OR($D95=G$97,$E95=G$97),$F95=""),"A",IF($D95=G$97,$I90,0)+IF($E95=G$97,$J90,0))</f>
        <v>0</v>
      </c>
      <c r="H108" s="59">
        <f>IF($D95=G$97,$F95,0)+IF($E95=G$97,$G95,0)</f>
        <v>0</v>
      </c>
      <c r="I108" s="1">
        <f>IF($D95=G$97,-$G95,0)+IF($E95=G$97,-$F95,0)</f>
        <v>0</v>
      </c>
      <c r="J108" s="22" t="str">
        <f>IF(AND(OR($D95=J$97,$E95=J$97),$F95=""),"A",IF($D95=J$97,$I90,0)+IF($E95=J$97,$J90,0))</f>
        <v>A</v>
      </c>
      <c r="K108" s="22">
        <f>IF($D95=J$97,$F95,0)+IF($E95=J$97,$G95,0)</f>
        <v>0</v>
      </c>
      <c r="L108" s="1">
        <f>IF($D95=J$97,-$G95,0)+IF($E95=J$97,-$F95,0)</f>
        <v>0</v>
      </c>
      <c r="M108" s="22">
        <f>IF(AND(OR($D95=M$97,$E95=M$97),$F95=""),"A",IF($D95=M$97,$I90,0)+IF($E95=M$97,$J90,0))</f>
        <v>0</v>
      </c>
      <c r="N108" s="22">
        <f>IF($D95=M$97,$F95,0)+IF($E95=M$97,$G95,0)</f>
        <v>0</v>
      </c>
      <c r="O108" s="1">
        <f>IF($D95=M$97,-$G95,0)+IF($E95=M$97,-$F95,0)</f>
        <v>0</v>
      </c>
      <c r="P108" s="22" t="str">
        <f>IF(AND(OR($D95=P$97,$E95=P$97),$F95=""),"A",IF($D95=P$97,$I90,0)+IF($E95=P$97,$J90,0))</f>
        <v>A</v>
      </c>
      <c r="Q108" s="22">
        <f>IF($D95=P$97,$F95,0)+IF($E95=P$97,$G95,0)</f>
        <v>0</v>
      </c>
      <c r="R108" s="1">
        <f>IF($D95=P$97,-$G95,0)+IF($E95=P$97,-$F95,0)</f>
        <v>0</v>
      </c>
    </row>
    <row r="109" spans="1:28" hidden="1" outlineLevel="1">
      <c r="B109" s="48"/>
    </row>
    <row r="110" spans="1:28" hidden="1" outlineLevel="1">
      <c r="B110" s="48"/>
      <c r="H110" s="59" t="s">
        <v>15</v>
      </c>
      <c r="I110" s="1" t="s">
        <v>16</v>
      </c>
      <c r="J110" s="38" t="s">
        <v>4</v>
      </c>
      <c r="K110" s="1" t="s">
        <v>17</v>
      </c>
    </row>
    <row r="111" spans="1:28" hidden="1" outlineLevel="1">
      <c r="A111" s="21">
        <f>RANK(B111,B$111:B$115,1)</f>
        <v>1</v>
      </c>
      <c r="B111" s="48">
        <f>SUM(H111:J111)+ROW()/1000</f>
        <v>10110.111000000001</v>
      </c>
      <c r="C111" s="22" t="str">
        <f>B83</f>
        <v>Kolumbien</v>
      </c>
      <c r="D111" s="3">
        <f>SUM(D99:D108)</f>
        <v>0</v>
      </c>
      <c r="E111" s="3">
        <f>F111+G111</f>
        <v>0</v>
      </c>
      <c r="F111" s="22">
        <f>SUM(E99:E108)</f>
        <v>0</v>
      </c>
      <c r="G111" s="22">
        <f>SUM(F99:F108)</f>
        <v>0</v>
      </c>
      <c r="H111" s="59">
        <f>10000*RANK(D111,D$111:D$115)-N111</f>
        <v>10000</v>
      </c>
      <c r="I111" s="1">
        <f>100*RANK(E111,E$111:E$115)</f>
        <v>100</v>
      </c>
      <c r="J111" s="1">
        <f>10*RANK(F111,F$111:F$115)</f>
        <v>10</v>
      </c>
      <c r="K111" s="1">
        <f>4-COUNTIF(D$99:D$108,"A")</f>
        <v>0</v>
      </c>
      <c r="L111" s="1">
        <f>COUNTIF(D$99:D$108,I$79)</f>
        <v>0</v>
      </c>
      <c r="M111" s="1">
        <f>COUNTIF(D$99:D$108,J$79)</f>
        <v>0</v>
      </c>
      <c r="N111" s="1">
        <f>IF(A83&lt;&gt;"",500,0)</f>
        <v>0</v>
      </c>
      <c r="O111" s="39" t="str">
        <f>IF(A83&lt;&gt;"",UPPER(A83),"")</f>
        <v/>
      </c>
    </row>
    <row r="112" spans="1:28" hidden="1" outlineLevel="1">
      <c r="A112" s="21">
        <f>RANK(B112,B$111:B$115,1)</f>
        <v>2</v>
      </c>
      <c r="B112" s="48">
        <f>SUM(H112:J112)+ROW()/1000</f>
        <v>10110.111999999999</v>
      </c>
      <c r="C112" s="22" t="str">
        <f>B84</f>
        <v>Griechenland</v>
      </c>
      <c r="D112" s="3">
        <f>SUM(G99:G108)</f>
        <v>0</v>
      </c>
      <c r="E112" s="3">
        <f>F112+G112</f>
        <v>0</v>
      </c>
      <c r="F112" s="22">
        <f>SUM(H99:H108)</f>
        <v>0</v>
      </c>
      <c r="G112" s="22">
        <f>SUM(I99:I108)</f>
        <v>0</v>
      </c>
      <c r="H112" s="59">
        <f>10000*RANK(D112,D$111:D$115)-N112</f>
        <v>10000</v>
      </c>
      <c r="I112" s="1">
        <f>100*RANK(E112,E$111:E$115)</f>
        <v>100</v>
      </c>
      <c r="J112" s="1">
        <f>10*RANK(F112,F$111:F$115)</f>
        <v>10</v>
      </c>
      <c r="K112" s="1">
        <f>4-COUNTIF(G$99:G$108,"A")</f>
        <v>0</v>
      </c>
      <c r="L112" s="1">
        <f>COUNTIF(G$99:G$108,I$79)</f>
        <v>0</v>
      </c>
      <c r="M112" s="1">
        <f>COUNTIF(G$99:G$108,J$79)</f>
        <v>0</v>
      </c>
      <c r="N112" s="1">
        <f>IF(A84&lt;&gt;"",500,0)</f>
        <v>0</v>
      </c>
      <c r="O112" s="39" t="str">
        <f>IF(A84&lt;&gt;"",UPPER(A84),"")</f>
        <v/>
      </c>
    </row>
    <row r="113" spans="1:54" hidden="1" outlineLevel="1">
      <c r="A113" s="21">
        <f>RANK(B113,B$111:B$115,1)</f>
        <v>3</v>
      </c>
      <c r="B113" s="48">
        <f>SUM(H113:J113)+ROW()/1000</f>
        <v>10110.112999999999</v>
      </c>
      <c r="C113" s="22" t="str">
        <f>B85</f>
        <v>Elfenbeinküste</v>
      </c>
      <c r="D113" s="3">
        <f>SUM(J99:J108)</f>
        <v>0</v>
      </c>
      <c r="E113" s="3">
        <f>F113+G113</f>
        <v>0</v>
      </c>
      <c r="F113" s="22">
        <f>SUM(K99:K108)</f>
        <v>0</v>
      </c>
      <c r="G113" s="22">
        <f>SUM(L99:L108)</f>
        <v>0</v>
      </c>
      <c r="H113" s="59">
        <f>10000*RANK(D113,D$111:D$115)-N113</f>
        <v>10000</v>
      </c>
      <c r="I113" s="1">
        <f>100*RANK(E113,E$111:E$115)</f>
        <v>100</v>
      </c>
      <c r="J113" s="1">
        <f>10*RANK(F113,F$111:F$115)</f>
        <v>10</v>
      </c>
      <c r="K113" s="1">
        <f>4-COUNTIF(J$99:J$108,"A")</f>
        <v>0</v>
      </c>
      <c r="L113" s="1">
        <f>COUNTIF(J$99:J$108,I$79)</f>
        <v>0</v>
      </c>
      <c r="M113" s="1">
        <f>COUNTIF(J$99:J$108,J$79)</f>
        <v>0</v>
      </c>
      <c r="N113" s="1">
        <f>IF(A85&lt;&gt;"",500,0)</f>
        <v>0</v>
      </c>
      <c r="O113" s="39" t="str">
        <f>IF(A85&lt;&gt;"",UPPER(A85),"")</f>
        <v/>
      </c>
    </row>
    <row r="114" spans="1:54" hidden="1" outlineLevel="1">
      <c r="A114" s="21">
        <f>RANK(B114,B$111:B$115,1)</f>
        <v>4</v>
      </c>
      <c r="B114" s="48">
        <f>SUM(H114:J114)+ROW()/1000</f>
        <v>10110.114</v>
      </c>
      <c r="C114" s="22" t="str">
        <f>B86</f>
        <v>Japan</v>
      </c>
      <c r="D114" s="3">
        <f>SUM(M99:M108)</f>
        <v>0</v>
      </c>
      <c r="E114" s="3">
        <f>F114+G114</f>
        <v>0</v>
      </c>
      <c r="F114" s="22">
        <f>SUM(N99:N108)</f>
        <v>0</v>
      </c>
      <c r="G114" s="22">
        <f>SUM(O99:O108)</f>
        <v>0</v>
      </c>
      <c r="H114" s="59">
        <f>10000*RANK(D114,D$111:D$115)-N114</f>
        <v>10000</v>
      </c>
      <c r="I114" s="1">
        <f>100*RANK(E114,E$111:E$115)</f>
        <v>100</v>
      </c>
      <c r="J114" s="1">
        <f>10*RANK(F114,F$111:F$115)</f>
        <v>10</v>
      </c>
      <c r="K114" s="1">
        <f>4-COUNTIF(M$99:M$108,"A")</f>
        <v>0</v>
      </c>
      <c r="L114" s="1">
        <f>COUNTIF(M$99:M$108,I$79)</f>
        <v>0</v>
      </c>
      <c r="M114" s="1">
        <f>COUNTIF(M$99:M$108,J$79)</f>
        <v>0</v>
      </c>
      <c r="N114" s="1">
        <f>IF(A86&lt;&gt;"",500,0)</f>
        <v>0</v>
      </c>
      <c r="O114" s="39" t="str">
        <f>IF(A86&lt;&gt;"",UPPER(A86),"")</f>
        <v/>
      </c>
    </row>
    <row r="115" spans="1:54" hidden="1" outlineLevel="1">
      <c r="A115" s="21">
        <f>RANK(B115,B$111:B$115,1)</f>
        <v>5</v>
      </c>
      <c r="B115" s="48">
        <f>SUM(H115:J115)+ROW()/1000</f>
        <v>10510.115</v>
      </c>
      <c r="C115" s="22" t="str">
        <f>B92</f>
        <v>#######</v>
      </c>
      <c r="D115" s="3">
        <v>0</v>
      </c>
      <c r="E115" s="3">
        <f>F115+G115</f>
        <v>-100</v>
      </c>
      <c r="F115" s="22">
        <v>0</v>
      </c>
      <c r="G115" s="22">
        <v>-100</v>
      </c>
      <c r="H115" s="59">
        <f>10000*RANK(D115,D$111:D$115)-N115</f>
        <v>10000</v>
      </c>
      <c r="I115" s="1">
        <f>100*RANK(E115,E$111:E$115)</f>
        <v>500</v>
      </c>
      <c r="J115" s="1">
        <f>10*RANK(F115,F$111:F$115)</f>
        <v>10</v>
      </c>
      <c r="K115" s="1">
        <f>4-COUNTIF(P$99:P$108,"A")</f>
        <v>0</v>
      </c>
      <c r="L115" s="1">
        <f>COUNTIF(P$99:P$108,I$79)</f>
        <v>0</v>
      </c>
      <c r="M115" s="1">
        <f>COUNTIF(P$99:P$108,J$79)</f>
        <v>0</v>
      </c>
      <c r="N115" s="1">
        <f>IF(A87&lt;&gt;"",500,0)</f>
        <v>0</v>
      </c>
      <c r="O115" s="39" t="str">
        <f>IF(A87&lt;&gt;"",UPPER(A87),"")</f>
        <v/>
      </c>
    </row>
    <row r="116" spans="1:54" hidden="1" outlineLevel="1">
      <c r="B116" s="48"/>
    </row>
    <row r="117" spans="1:54" hidden="1" outlineLevel="1">
      <c r="B117" s="48"/>
    </row>
    <row r="118" spans="1:54" ht="15" collapsed="1">
      <c r="B118" s="48"/>
      <c r="C118" s="14"/>
      <c r="D118" s="14"/>
      <c r="E118" s="14"/>
      <c r="F118" s="14"/>
      <c r="G118" s="14"/>
      <c r="I118" s="45">
        <f>I1</f>
        <v>3</v>
      </c>
      <c r="J118" s="45">
        <f>J1</f>
        <v>1</v>
      </c>
      <c r="AS118" s="40" t="str">
        <f>IF(AND(P88=12,SUM(AS83:AS85)&lt;&gt;6),"UEFA / Fairplay / Los ?","")</f>
        <v/>
      </c>
    </row>
    <row r="119" spans="1:54" ht="15" thickBot="1">
      <c r="B119" s="48"/>
      <c r="F119" s="3"/>
      <c r="G119" s="3"/>
    </row>
    <row r="120" spans="1:54" ht="18">
      <c r="B120" s="47" t="s">
        <v>21</v>
      </c>
      <c r="C120" s="1">
        <v>1</v>
      </c>
      <c r="D120" s="46" t="str">
        <f>B122</f>
        <v>Uruguay</v>
      </c>
      <c r="E120" s="46" t="str">
        <f>B123</f>
        <v>Costa Rica</v>
      </c>
      <c r="F120" s="69"/>
      <c r="G120" s="70"/>
      <c r="H120" s="246">
        <v>41804.875</v>
      </c>
      <c r="I120" s="1">
        <f>IF(F120="",0,IF(F120=G120,J$118,IF(F120&gt;G120,I$118,0)))</f>
        <v>0</v>
      </c>
      <c r="J120" s="1">
        <f>IF(G120="",0,IF(F120=G120,J$118,IF(F120&lt;G120,I$118,0)))</f>
        <v>0</v>
      </c>
      <c r="N120" s="7"/>
      <c r="O120" s="8"/>
      <c r="P120" s="9" t="s">
        <v>1</v>
      </c>
      <c r="Q120" s="9" t="s">
        <v>2</v>
      </c>
      <c r="R120" s="10" t="s">
        <v>3</v>
      </c>
      <c r="S120" s="11" t="s">
        <v>4</v>
      </c>
      <c r="T120" s="12" t="s">
        <v>5</v>
      </c>
      <c r="U120" s="10" t="s">
        <v>6</v>
      </c>
      <c r="V120" s="9" t="s">
        <v>7</v>
      </c>
      <c r="W120" s="13" t="s">
        <v>8</v>
      </c>
      <c r="Y120" s="14"/>
      <c r="Z120"/>
      <c r="AA120"/>
      <c r="AB120" s="15" t="s">
        <v>9</v>
      </c>
      <c r="AF120"/>
      <c r="AG120"/>
      <c r="AS120" s="7"/>
      <c r="AT120" s="8"/>
      <c r="AU120" s="9" t="s">
        <v>1</v>
      </c>
      <c r="AV120" s="9" t="s">
        <v>2</v>
      </c>
      <c r="AW120" s="10" t="s">
        <v>3</v>
      </c>
      <c r="AX120" s="11" t="s">
        <v>4</v>
      </c>
      <c r="AY120" s="12" t="s">
        <v>5</v>
      </c>
      <c r="AZ120" s="64" t="s">
        <v>6</v>
      </c>
      <c r="BA120" s="64" t="s">
        <v>7</v>
      </c>
      <c r="BB120" s="65" t="s">
        <v>8</v>
      </c>
    </row>
    <row r="121" spans="1:54">
      <c r="B121" s="48"/>
      <c r="C121" s="1">
        <v>2</v>
      </c>
      <c r="D121" s="46" t="str">
        <f>B124</f>
        <v>England</v>
      </c>
      <c r="E121" s="46" t="str">
        <f>B125</f>
        <v>Italien</v>
      </c>
      <c r="F121" s="69"/>
      <c r="G121" s="70"/>
      <c r="H121" s="245">
        <v>41804.125</v>
      </c>
      <c r="I121" s="1">
        <f>IF(F121="",0,IF(F121=G121,J$118,IF(F121&gt;G121,I$118,0)))</f>
        <v>0</v>
      </c>
      <c r="J121" s="1">
        <f>IF(G121="",0,IF(F121=G121,J$118,IF(F121&lt;G121,I$118,0)))</f>
        <v>0</v>
      </c>
      <c r="N121" s="16"/>
      <c r="O121" s="17"/>
      <c r="P121" s="14"/>
      <c r="Q121" s="17"/>
      <c r="R121" s="18"/>
      <c r="S121" s="18"/>
      <c r="T121" s="19"/>
      <c r="W121" s="20"/>
      <c r="Y121" s="14"/>
      <c r="Z121"/>
      <c r="AA121"/>
      <c r="AF121"/>
      <c r="AG121"/>
      <c r="AH121" s="21" t="s">
        <v>10</v>
      </c>
      <c r="AN121" s="21" t="s">
        <v>11</v>
      </c>
      <c r="AS121" s="16"/>
      <c r="AT121" s="17"/>
      <c r="AU121" s="14"/>
      <c r="AV121" s="17"/>
      <c r="AW121" s="18"/>
      <c r="AX121" s="18"/>
      <c r="AY121" s="19"/>
      <c r="BB121" s="66"/>
    </row>
    <row r="122" spans="1:54" ht="15">
      <c r="A122" s="71"/>
      <c r="B122" s="72" t="s">
        <v>72</v>
      </c>
      <c r="C122" s="1">
        <v>3</v>
      </c>
      <c r="D122" s="46" t="str">
        <f>B122</f>
        <v>Uruguay</v>
      </c>
      <c r="E122" s="46" t="str">
        <f>B124</f>
        <v>England</v>
      </c>
      <c r="F122" s="69"/>
      <c r="G122" s="70"/>
      <c r="H122" s="246">
        <v>41809.875</v>
      </c>
      <c r="I122" s="1">
        <f>IF(F131="",0,IF(F131=G131,J$118,IF(F131&gt;G131,I$118,0)))</f>
        <v>0</v>
      </c>
      <c r="J122" s="1">
        <f>IF(G131="",0,IF(F131=G131,J$118,IF(F131&lt;G131,I$118,0)))</f>
        <v>0</v>
      </c>
      <c r="K122" s="1">
        <v>1</v>
      </c>
      <c r="L122" s="1">
        <f>IF(OR(Q$122+Q$123+Q$124=3*Q$122,Q$125+Q$123+Q$124=3*Q$125,AE122+AK122+AQ122=0),K122,AE122+AK122+AQ122)</f>
        <v>1</v>
      </c>
      <c r="M122" s="22">
        <f>INT(VLOOKUP($K122,$A$150:$G$154,2,0))</f>
        <v>10110</v>
      </c>
      <c r="N122" s="23">
        <f>1</f>
        <v>1</v>
      </c>
      <c r="O122" s="24" t="str">
        <f>VLOOKUP($K122,$A$150:$G$154,3,0)</f>
        <v>Uruguay</v>
      </c>
      <c r="P122" s="22">
        <f>VLOOKUP($K122,$A$150:$K$154,11,0)</f>
        <v>0</v>
      </c>
      <c r="Q122" s="25">
        <f>VLOOKUP($K122,$A$150:$G$154,4,0)</f>
        <v>0</v>
      </c>
      <c r="R122" s="18">
        <f>VLOOKUP($K122,$A$150:$G$154,5,0)</f>
        <v>0</v>
      </c>
      <c r="S122" s="18">
        <f>VLOOKUP($K122,$A$150:$G$154,6,0)</f>
        <v>0</v>
      </c>
      <c r="T122" s="19">
        <f>VLOOKUP($K122,$A$150:$G$154,7,0)</f>
        <v>0</v>
      </c>
      <c r="U122" s="14">
        <f>VLOOKUP($K122,$A$150:$M$154,12,0)</f>
        <v>0</v>
      </c>
      <c r="V122" s="1">
        <f>VLOOKUP($K122,$A$150:$M$154,13,0)</f>
        <v>0</v>
      </c>
      <c r="W122" s="20">
        <f>P122-U122-V122</f>
        <v>0</v>
      </c>
      <c r="X122" s="25" t="str">
        <f>VLOOKUP($K122,$A$150:$G$154,4,0)&amp;" "&amp;VLOOKUP($K122,$A$150:$P$154,15,0)</f>
        <v xml:space="preserve">0 </v>
      </c>
      <c r="Y122" s="1">
        <f>INT(VLOOKUP($K122,$A$150:$H$154,8,0))</f>
        <v>10000</v>
      </c>
      <c r="Z122" s="1">
        <f>IF(AND(Y$122=Y$123,OR(AND(D120=O$122,E120=O$123),AND(D120=O$123,E120=O$122))),1,0)</f>
        <v>1</v>
      </c>
      <c r="AA122" s="1" t="str">
        <f t="shared" ref="AA122:AA127" si="36">VLOOKUP($Z122,$C$120:$G$125,2,0)</f>
        <v>Uruguay</v>
      </c>
      <c r="AB122" s="1" t="str">
        <f t="shared" ref="AB122:AB127" si="37">VLOOKUP($Z122,$C$120:$G$125,3,0)</f>
        <v>Costa Rica</v>
      </c>
      <c r="AC122" s="1">
        <f t="shared" ref="AC122:AC127" si="38">VLOOKUP($Z122,$C$120:$G$125,4,0)</f>
        <v>0</v>
      </c>
      <c r="AD122" s="1">
        <f t="shared" ref="AD122:AD127" si="39">VLOOKUP($Z122,$C$120:$G$125,5,0)</f>
        <v>0</v>
      </c>
      <c r="AE122" s="1">
        <f>IF(ISERROR(AC129),0,IF(AC129=0,0,IF(OR(AND(AA129=O122,AC129&gt;0),AND(AB129=O122,AC129&lt;0)),1,2)))</f>
        <v>0</v>
      </c>
      <c r="AF122" s="1">
        <f>IF(AND($Y$123=$Y$124,OR(AND($D120=$O$123,$E120=$O$124),AND($D120=$O$124,$E120=$O$123))),1,0)</f>
        <v>0</v>
      </c>
      <c r="AG122" s="1" t="e">
        <f t="shared" ref="AG122:AG127" si="40">VLOOKUP($AF122,$C$120:$G$125,2,0)</f>
        <v>#N/A</v>
      </c>
      <c r="AH122" s="1" t="e">
        <f t="shared" ref="AH122:AH127" si="41">VLOOKUP($AF122,$C$120:$G$125,3,0)</f>
        <v>#N/A</v>
      </c>
      <c r="AI122" s="1" t="e">
        <f t="shared" ref="AI122:AI127" si="42">VLOOKUP($AF122,$C$120:$G$125,4,0)</f>
        <v>#N/A</v>
      </c>
      <c r="AJ122" s="1" t="e">
        <f t="shared" ref="AJ122:AJ127" si="43">VLOOKUP($AF122,$C$120:$G$125,5,0)</f>
        <v>#N/A</v>
      </c>
      <c r="AK122"/>
      <c r="AL122" s="1">
        <f>IF(AND($Y$124=$Y$125,OR(AND($D120=$O$124,$E120=$O$125),AND($D120=$O$125,$E120=$O$124))),1,0)</f>
        <v>0</v>
      </c>
      <c r="AM122" s="1" t="e">
        <f t="shared" ref="AM122:AM127" si="44">VLOOKUP($AL122,$C$120:$G$125,2,0)</f>
        <v>#N/A</v>
      </c>
      <c r="AN122" s="1" t="e">
        <f t="shared" ref="AN122:AN127" si="45">VLOOKUP($AL122,$C$120:$G$125,3,0)</f>
        <v>#N/A</v>
      </c>
      <c r="AO122" s="1" t="e">
        <f t="shared" ref="AO122:AO127" si="46">VLOOKUP($AL122,$C$120:$G$125,4,0)</f>
        <v>#N/A</v>
      </c>
      <c r="AP122" s="1" t="e">
        <f t="shared" ref="AP122:AP127" si="47">VLOOKUP($AL122,$C$120:$G$125,5,0)</f>
        <v>#N/A</v>
      </c>
      <c r="AS122" s="23">
        <v>1</v>
      </c>
      <c r="AT122" s="24" t="str">
        <f>VLOOKUP($K122,$L$122:$W$125,4,0)</f>
        <v>Uruguay</v>
      </c>
      <c r="AU122" s="22">
        <f>VLOOKUP($K122,$L$122:$W$125,5,0)</f>
        <v>0</v>
      </c>
      <c r="AV122" s="25" t="str">
        <f>VLOOKUP($K122,$L$122:$X$125,13,0)</f>
        <v xml:space="preserve">0 </v>
      </c>
      <c r="AW122" s="18">
        <f>VLOOKUP($K122,$L$122:$W$125,7,0)</f>
        <v>0</v>
      </c>
      <c r="AX122" s="18">
        <f>VLOOKUP($K122,$L$122:$W$125,8,0)</f>
        <v>0</v>
      </c>
      <c r="AY122" s="19">
        <f>VLOOKUP($K122,$L$122:$W$125,9,0)</f>
        <v>0</v>
      </c>
      <c r="AZ122" s="51">
        <f>VLOOKUP($K122,$L$122:$W$125,10,0)</f>
        <v>0</v>
      </c>
      <c r="BA122" s="22">
        <f>VLOOKUP($K122,$L$122:$W$125,11,0)</f>
        <v>0</v>
      </c>
      <c r="BB122" s="66">
        <f>VLOOKUP($K122,$L$122:$W$125,12,0)</f>
        <v>0</v>
      </c>
    </row>
    <row r="123" spans="1:54" ht="15">
      <c r="A123" s="71"/>
      <c r="B123" s="72" t="s">
        <v>30</v>
      </c>
      <c r="C123" s="1">
        <v>4</v>
      </c>
      <c r="D123" s="46" t="str">
        <f>B123</f>
        <v>Costa Rica</v>
      </c>
      <c r="E123" s="46" t="str">
        <f>B125</f>
        <v>Italien</v>
      </c>
      <c r="F123" s="69"/>
      <c r="G123" s="70"/>
      <c r="H123" s="246">
        <v>41810.75</v>
      </c>
      <c r="I123" s="1">
        <f>IF(F122="",0,IF(F122=G122,J$118,IF(F122&gt;G122,I$118,0)))</f>
        <v>0</v>
      </c>
      <c r="J123" s="1">
        <f>IF(G122="",0,IF(F122=G122,J$118,IF(F122&lt;G122,I$118,0)))</f>
        <v>0</v>
      </c>
      <c r="K123" s="1">
        <v>2</v>
      </c>
      <c r="L123" s="1">
        <f>IF(OR(Q$122+Q$123+Q$124=3*Q$122,Q$125+Q$123+Q$124=3*Q$125,AE123+AK123+AQ123=0),K123,AE123+AK123+AQ123)</f>
        <v>2</v>
      </c>
      <c r="M123" s="22">
        <f>INT(VLOOKUP($K123,$A$150:$G$154,2,0))</f>
        <v>10110</v>
      </c>
      <c r="N123" s="23" t="str">
        <f>IF(M123=M122,"",K123)</f>
        <v/>
      </c>
      <c r="O123" s="24" t="str">
        <f>VLOOKUP($K123,$A$150:$G$154,3,0)</f>
        <v>Costa Rica</v>
      </c>
      <c r="P123" s="22">
        <f>VLOOKUP($K123,$A$150:$K$154,11,0)</f>
        <v>0</v>
      </c>
      <c r="Q123" s="25">
        <f>VLOOKUP($K123,$A$150:$G$154,4,0)</f>
        <v>0</v>
      </c>
      <c r="R123" s="18">
        <f>VLOOKUP($K123,$A$150:$G$154,5,0)</f>
        <v>0</v>
      </c>
      <c r="S123" s="18">
        <f>VLOOKUP($K123,$A$150:$G$154,6,0)</f>
        <v>0</v>
      </c>
      <c r="T123" s="19">
        <f>VLOOKUP($K123,$A$150:$G$154,7,0)</f>
        <v>0</v>
      </c>
      <c r="U123" s="14">
        <f>VLOOKUP($K123,$A$150:$M$154,12,0)</f>
        <v>0</v>
      </c>
      <c r="V123" s="1">
        <f>VLOOKUP($K123,$A$150:$M$154,13,0)</f>
        <v>0</v>
      </c>
      <c r="W123" s="20">
        <f>P123-U123-V123</f>
        <v>0</v>
      </c>
      <c r="X123" s="25" t="str">
        <f>VLOOKUP($K123,$A$150:$G$154,4,0)&amp;" "&amp;VLOOKUP($K123,$A$150:$P$154,15,0)</f>
        <v xml:space="preserve">0 </v>
      </c>
      <c r="Y123" s="1">
        <f>INT(VLOOKUP($K123,$A$150:$H$154,8,0))</f>
        <v>10000</v>
      </c>
      <c r="Z123" s="1">
        <f>IF(AND(Y$122=Y$123,OR(AND(D121=O$122,E121=O$123),AND(D121=O$123,E121=O$122))),2,0)</f>
        <v>0</v>
      </c>
      <c r="AA123" s="1" t="e">
        <f t="shared" si="36"/>
        <v>#N/A</v>
      </c>
      <c r="AB123" s="1" t="e">
        <f t="shared" si="37"/>
        <v>#N/A</v>
      </c>
      <c r="AC123" s="1" t="e">
        <f t="shared" si="38"/>
        <v>#N/A</v>
      </c>
      <c r="AD123" s="1" t="e">
        <f t="shared" si="39"/>
        <v>#N/A</v>
      </c>
      <c r="AE123" s="1">
        <f>IF(AE122=2,1,IF(AE122=1,2,0))</f>
        <v>0</v>
      </c>
      <c r="AF123" s="1">
        <f>IF(AND(Y$123=Y$124,OR(AND(D121=O$123,E121=O$124),AND(D121=O$124,E121=O$123))),2,0)</f>
        <v>0</v>
      </c>
      <c r="AG123" s="1" t="e">
        <f t="shared" si="40"/>
        <v>#N/A</v>
      </c>
      <c r="AH123" s="1" t="e">
        <f t="shared" si="41"/>
        <v>#N/A</v>
      </c>
      <c r="AI123" s="1" t="e">
        <f t="shared" si="42"/>
        <v>#N/A</v>
      </c>
      <c r="AJ123" s="1" t="e">
        <f t="shared" si="43"/>
        <v>#N/A</v>
      </c>
      <c r="AK123" s="1">
        <f>IF(ISERROR(AI129),0,IF(AI129=0,0,IF(OR(AND(AG129=O123,AI129&gt;0),AND(AH129=O123,AI129&lt;0)),2,3)))</f>
        <v>0</v>
      </c>
      <c r="AL123" s="1">
        <f>IF(AND($Y$124=$Y$125,OR(AND($D121=$O$124,$E121=$O$125),AND($D121=$O$125,$E121=$O$124))),2,0)</f>
        <v>2</v>
      </c>
      <c r="AM123" s="1" t="str">
        <f t="shared" si="44"/>
        <v>England</v>
      </c>
      <c r="AN123" s="1" t="str">
        <f t="shared" si="45"/>
        <v>Italien</v>
      </c>
      <c r="AO123" s="1">
        <f t="shared" si="46"/>
        <v>0</v>
      </c>
      <c r="AP123" s="1">
        <f t="shared" si="47"/>
        <v>0</v>
      </c>
      <c r="AQ123"/>
      <c r="AR123"/>
      <c r="AS123" s="23" t="str">
        <f>IF(AND(OR(AR129=1,AE123+AK123+AQ123=0),M123=M122),"",2)</f>
        <v/>
      </c>
      <c r="AT123" s="24" t="str">
        <f>VLOOKUP($K123,$L$122:$W$125,4,0)</f>
        <v>Costa Rica</v>
      </c>
      <c r="AU123" s="22">
        <f>VLOOKUP($K123,$L$122:$W$125,5,0)</f>
        <v>0</v>
      </c>
      <c r="AV123" s="25" t="str">
        <f>VLOOKUP($K123,$L$122:$X$125,13,0)</f>
        <v xml:space="preserve">0 </v>
      </c>
      <c r="AW123" s="18">
        <f>VLOOKUP($K123,$L$122:$W$125,7,0)</f>
        <v>0</v>
      </c>
      <c r="AX123" s="18">
        <f>VLOOKUP($K123,$L$122:$W$125,8,0)</f>
        <v>0</v>
      </c>
      <c r="AY123" s="19">
        <f>VLOOKUP($K123,$L$122:$W$125,9,0)</f>
        <v>0</v>
      </c>
      <c r="AZ123" s="51">
        <f>VLOOKUP($K123,$L$122:$W$125,10,0)</f>
        <v>0</v>
      </c>
      <c r="BA123" s="22">
        <f>VLOOKUP($K123,$L$122:$W$125,11,0)</f>
        <v>0</v>
      </c>
      <c r="BB123" s="66">
        <f>VLOOKUP($K123,$L$122:$W$125,12,0)</f>
        <v>0</v>
      </c>
    </row>
    <row r="124" spans="1:54" ht="15">
      <c r="A124" s="71"/>
      <c r="B124" s="72" t="s">
        <v>33</v>
      </c>
      <c r="C124" s="1">
        <v>5</v>
      </c>
      <c r="D124" s="46" t="str">
        <f>B122</f>
        <v>Uruguay</v>
      </c>
      <c r="E124" s="46" t="str">
        <f>B125</f>
        <v>Italien</v>
      </c>
      <c r="F124" s="69"/>
      <c r="G124" s="70"/>
      <c r="H124" s="246">
        <v>41814.75</v>
      </c>
      <c r="I124" s="1">
        <f>IF(F132="",0,IF(F132=G132,J$118,IF(F132&gt;G132,I$118,0)))</f>
        <v>0</v>
      </c>
      <c r="J124" s="1">
        <f>IF(G132="",0,IF(F132=G132,J$118,IF(F132&lt;G132,I$118,0)))</f>
        <v>0</v>
      </c>
      <c r="K124" s="1">
        <v>3</v>
      </c>
      <c r="L124" s="1">
        <f>IF(OR(Q$122+Q$123+Q$124=3*Q$122,Q$125+Q$123+Q$124=3*Q$125,AE124+AK124+AQ124=0),K124,AE124+AK124+AQ124)</f>
        <v>3</v>
      </c>
      <c r="M124" s="22">
        <f>INT(VLOOKUP($K124,$A$150:$G$154,2,0))</f>
        <v>10110</v>
      </c>
      <c r="N124" s="23" t="str">
        <f>IF(M124=M123,"",K124)</f>
        <v/>
      </c>
      <c r="O124" s="24" t="str">
        <f>VLOOKUP($K124,$A$150:$G$154,3,0)</f>
        <v>England</v>
      </c>
      <c r="P124" s="22">
        <f>VLOOKUP($K124,$A$150:$K$154,11,0)</f>
        <v>0</v>
      </c>
      <c r="Q124" s="25">
        <f>VLOOKUP($K124,$A$150:$G$154,4,0)</f>
        <v>0</v>
      </c>
      <c r="R124" s="18">
        <f>VLOOKUP($K124,$A$150:$G$154,5,0)</f>
        <v>0</v>
      </c>
      <c r="S124" s="18">
        <f>VLOOKUP($K124,$A$150:$G$154,6,0)</f>
        <v>0</v>
      </c>
      <c r="T124" s="19">
        <f>VLOOKUP($K124,$A$150:$G$154,7,0)</f>
        <v>0</v>
      </c>
      <c r="U124" s="14">
        <f>VLOOKUP($K124,$A$150:$M$154,12,0)</f>
        <v>0</v>
      </c>
      <c r="V124" s="1">
        <f>VLOOKUP($K124,$A$150:$M$154,13,0)</f>
        <v>0</v>
      </c>
      <c r="W124" s="20">
        <f>P124-U124-V124</f>
        <v>0</v>
      </c>
      <c r="X124" s="25" t="str">
        <f>VLOOKUP($K124,$A$150:$G$154,4,0)&amp;" "&amp;VLOOKUP($K124,$A$150:$P$154,15,0)</f>
        <v xml:space="preserve">0 </v>
      </c>
      <c r="Y124" s="1">
        <f>INT(VLOOKUP($K124,$A$150:$H$154,8,0))</f>
        <v>10000</v>
      </c>
      <c r="Z124" s="1">
        <f>IF(AND(Y$122=Y$123,OR(AND(D122=O$122,E122=O$123),AND(D122=O$123,E122=O$122))),3,0)</f>
        <v>0</v>
      </c>
      <c r="AA124" s="1" t="e">
        <f t="shared" si="36"/>
        <v>#N/A</v>
      </c>
      <c r="AB124" s="1" t="e">
        <f t="shared" si="37"/>
        <v>#N/A</v>
      </c>
      <c r="AC124" s="1" t="e">
        <f t="shared" si="38"/>
        <v>#N/A</v>
      </c>
      <c r="AD124" s="1" t="e">
        <f t="shared" si="39"/>
        <v>#N/A</v>
      </c>
      <c r="AF124" s="1">
        <f>IF(AND(Y$123=Y$124,OR(AND(D122=O$123,E122=O$124),AND(D122=O$124,E122=O$123))),3,0)</f>
        <v>0</v>
      </c>
      <c r="AG124" s="1" t="e">
        <f t="shared" si="40"/>
        <v>#N/A</v>
      </c>
      <c r="AH124" s="1" t="e">
        <f t="shared" si="41"/>
        <v>#N/A</v>
      </c>
      <c r="AI124" s="1" t="e">
        <f t="shared" si="42"/>
        <v>#N/A</v>
      </c>
      <c r="AJ124" s="1" t="e">
        <f t="shared" si="43"/>
        <v>#N/A</v>
      </c>
      <c r="AK124" s="1">
        <f>IF(AK123=3,2,IF(AK123=2,3,0))</f>
        <v>0</v>
      </c>
      <c r="AL124" s="1">
        <f>IF(AND($Y$124=$Y$125,OR(AND($D122=$O$124,$E122=$O$125),AND($D122=$O$125,$E122=$O$124))),3,0)</f>
        <v>0</v>
      </c>
      <c r="AM124" s="1" t="e">
        <f t="shared" si="44"/>
        <v>#N/A</v>
      </c>
      <c r="AN124" s="1" t="e">
        <f t="shared" si="45"/>
        <v>#N/A</v>
      </c>
      <c r="AO124" s="1" t="e">
        <f t="shared" si="46"/>
        <v>#N/A</v>
      </c>
      <c r="AP124" s="1" t="e">
        <f t="shared" si="47"/>
        <v>#N/A</v>
      </c>
      <c r="AQ124" s="1">
        <f>IF(ISERROR(AO129),0,IF(AO129=0,0,IF(OR(AND(AM129=O124,AO129&gt;0),AND(AN129=O124,AO129&lt;0)),3,4)))</f>
        <v>0</v>
      </c>
      <c r="AS124" s="23" t="str">
        <f>IF(AND(OR(AR130=1,AE124+AK124+AQ124=0),M124=M123),"",3)</f>
        <v/>
      </c>
      <c r="AT124" s="24" t="str">
        <f>VLOOKUP($K124,$L$122:$W$125,4,0)</f>
        <v>England</v>
      </c>
      <c r="AU124" s="22">
        <f>VLOOKUP($K124,$L$122:$W$125,5,0)</f>
        <v>0</v>
      </c>
      <c r="AV124" s="25" t="str">
        <f>VLOOKUP($K124,$L$122:$X$125,13,0)</f>
        <v xml:space="preserve">0 </v>
      </c>
      <c r="AW124" s="18">
        <f>VLOOKUP($K124,$L$122:$W$125,7,0)</f>
        <v>0</v>
      </c>
      <c r="AX124" s="18">
        <f>VLOOKUP($K124,$L$122:$W$125,8,0)</f>
        <v>0</v>
      </c>
      <c r="AY124" s="19">
        <f>VLOOKUP($K124,$L$122:$W$125,9,0)</f>
        <v>0</v>
      </c>
      <c r="AZ124" s="51">
        <f>VLOOKUP($K124,$L$122:$W$125,10,0)</f>
        <v>0</v>
      </c>
      <c r="BA124" s="22">
        <f>VLOOKUP($K124,$L$122:$W$125,11,0)</f>
        <v>0</v>
      </c>
      <c r="BB124" s="66">
        <f>VLOOKUP($K124,$L$122:$W$125,12,0)</f>
        <v>0</v>
      </c>
    </row>
    <row r="125" spans="1:54" ht="15.75" thickBot="1">
      <c r="A125" s="71"/>
      <c r="B125" s="72" t="s">
        <v>42</v>
      </c>
      <c r="C125" s="1">
        <v>6</v>
      </c>
      <c r="D125" s="46" t="str">
        <f>B123</f>
        <v>Costa Rica</v>
      </c>
      <c r="E125" s="46" t="str">
        <f>B124</f>
        <v>England</v>
      </c>
      <c r="F125" s="69"/>
      <c r="G125" s="70"/>
      <c r="H125" s="246">
        <v>41814.75</v>
      </c>
      <c r="I125" s="1">
        <f>IF(F123="",0,IF(F123=G123,J$118,IF(F123&gt;G123,I$118,0)))</f>
        <v>0</v>
      </c>
      <c r="J125" s="1">
        <f>IF(G123="",0,IF(F123=G123,J$118,IF(F123&lt;G123,I$118,0)))</f>
        <v>0</v>
      </c>
      <c r="K125" s="1">
        <v>4</v>
      </c>
      <c r="L125" s="1">
        <f>IF(OR(Q$122+Q$123+Q$124=3*Q$122,Q$125+Q$123+Q$124=3*Q$125,AE125+AK125+AQ125=0),K125,AE125+AK125+AQ125)</f>
        <v>4</v>
      </c>
      <c r="M125" s="22">
        <f>INT(VLOOKUP($K125,$A$150:$G$154,2,0))</f>
        <v>10110</v>
      </c>
      <c r="N125" s="26" t="str">
        <f>IF(M125=M124,"",K125)</f>
        <v/>
      </c>
      <c r="O125" s="27" t="str">
        <f>VLOOKUP($K125,$A$150:$G$154,3,0)</f>
        <v>Italien</v>
      </c>
      <c r="P125" s="28">
        <f>VLOOKUP($K125,$A$150:$K$154,11,0)</f>
        <v>0</v>
      </c>
      <c r="Q125" s="25">
        <f>VLOOKUP($K125,$A$150:$G$154,4,0)</f>
        <v>0</v>
      </c>
      <c r="R125" s="30">
        <f>VLOOKUP($K125,$A$150:$G$154,5,0)</f>
        <v>0</v>
      </c>
      <c r="S125" s="30">
        <f>VLOOKUP($K125,$A$150:$G$154,6,0)</f>
        <v>0</v>
      </c>
      <c r="T125" s="31">
        <f>VLOOKUP($K125,$A$150:$G$154,7,0)</f>
        <v>0</v>
      </c>
      <c r="U125" s="32">
        <f>VLOOKUP($K125,$A$150:$M$154,12,0)</f>
        <v>0</v>
      </c>
      <c r="V125" s="33">
        <f>VLOOKUP($K125,$A$150:$M$154,13,0)</f>
        <v>0</v>
      </c>
      <c r="W125" s="34">
        <f>P125-U125-V125</f>
        <v>0</v>
      </c>
      <c r="X125" s="25" t="str">
        <f>VLOOKUP($K125,$A$150:$G$154,4,0)&amp;" "&amp;VLOOKUP($K125,$A$150:$P$154,15,0)</f>
        <v xml:space="preserve">0 </v>
      </c>
      <c r="Y125" s="1">
        <f>INT(VLOOKUP($K125,$A$150:$H$154,8,0))</f>
        <v>10000</v>
      </c>
      <c r="Z125" s="1">
        <f>IF(AND(Y$122=Y$123,OR(AND(D123=O$122,E123=O$123),AND(D123=O$123,E123=O$122))),4,0)</f>
        <v>0</v>
      </c>
      <c r="AA125" s="1" t="e">
        <f t="shared" si="36"/>
        <v>#N/A</v>
      </c>
      <c r="AB125" s="1" t="e">
        <f t="shared" si="37"/>
        <v>#N/A</v>
      </c>
      <c r="AC125" s="1" t="e">
        <f t="shared" si="38"/>
        <v>#N/A</v>
      </c>
      <c r="AD125" s="1" t="e">
        <f t="shared" si="39"/>
        <v>#N/A</v>
      </c>
      <c r="AF125" s="1">
        <f>IF(AND(Y$123=Y$124,OR(AND(D123=O$123,E123=O$124),AND(D123=O$124,E123=O$123))),4,0)</f>
        <v>0</v>
      </c>
      <c r="AG125" s="1" t="e">
        <f t="shared" si="40"/>
        <v>#N/A</v>
      </c>
      <c r="AH125" s="1" t="e">
        <f t="shared" si="41"/>
        <v>#N/A</v>
      </c>
      <c r="AI125" s="1" t="e">
        <f t="shared" si="42"/>
        <v>#N/A</v>
      </c>
      <c r="AJ125" s="1" t="e">
        <f t="shared" si="43"/>
        <v>#N/A</v>
      </c>
      <c r="AL125" s="1">
        <f>IF(AND($Y$124=$Y$125,OR(AND($D123=$O$124,$E123=$O$125),AND($D123=$O$125,$E123=$O$124))),4,0)</f>
        <v>0</v>
      </c>
      <c r="AM125" s="1" t="e">
        <f t="shared" si="44"/>
        <v>#N/A</v>
      </c>
      <c r="AN125" s="1" t="e">
        <f t="shared" si="45"/>
        <v>#N/A</v>
      </c>
      <c r="AO125" s="1" t="e">
        <f t="shared" si="46"/>
        <v>#N/A</v>
      </c>
      <c r="AP125" s="1" t="e">
        <f t="shared" si="47"/>
        <v>#N/A</v>
      </c>
      <c r="AQ125" s="1">
        <f>IF(AQ124=4,3,IF(AQ124=3,4,0))</f>
        <v>0</v>
      </c>
      <c r="AS125" s="26" t="str">
        <f>IF(AND(OR(AR131=1,AE125+AK125+AQ125=0),M125=M124),"",4)</f>
        <v/>
      </c>
      <c r="AT125" s="27" t="str">
        <f>VLOOKUP($K125,$L$122:$W$125,4,0)</f>
        <v>Italien</v>
      </c>
      <c r="AU125" s="35">
        <f>VLOOKUP($K125,$L$122:$W$125,5,0)</f>
        <v>0</v>
      </c>
      <c r="AV125" s="29" t="str">
        <f>VLOOKUP($K125,$L$122:$X$125,13,0)</f>
        <v xml:space="preserve">0 </v>
      </c>
      <c r="AW125" s="30">
        <f>VLOOKUP($K125,$L$122:$W$125,7,0)</f>
        <v>0</v>
      </c>
      <c r="AX125" s="30">
        <f>VLOOKUP($K125,$L$122:$W$125,8,0)</f>
        <v>0</v>
      </c>
      <c r="AY125" s="31">
        <f>VLOOKUP($K125,$L$122:$W$125,9,0)</f>
        <v>0</v>
      </c>
      <c r="AZ125" s="67">
        <f>VLOOKUP($K125,$L$122:$W$125,10,0)</f>
        <v>0</v>
      </c>
      <c r="BA125" s="35">
        <f>VLOOKUP($K125,$L$122:$W$125,11,0)</f>
        <v>0</v>
      </c>
      <c r="BB125" s="68">
        <f>VLOOKUP($K125,$L$122:$W$125,12,0)</f>
        <v>0</v>
      </c>
    </row>
    <row r="126" spans="1:54" ht="15">
      <c r="B126" s="48"/>
      <c r="D126" s="14"/>
      <c r="E126" s="14"/>
      <c r="F126" s="14"/>
      <c r="G126" s="14"/>
      <c r="I126" s="1">
        <f>IF(F124="",0,IF(F124=G124,J$118,IF(F124&gt;G124,I$118,0)))</f>
        <v>0</v>
      </c>
      <c r="J126" s="1">
        <f>IF(G124="",0,IF(F124=G124,J$118,IF(F124&lt;G124,I$118,0)))</f>
        <v>0</v>
      </c>
      <c r="K126" s="1">
        <v>5</v>
      </c>
      <c r="M126" s="22">
        <f>INT(VLOOKUP($K126,$A$150:$G$154,2,0))</f>
        <v>10510</v>
      </c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Z126" s="1">
        <f>IF(AND(Y$122=Y$123,OR(AND(D124=O$122,E124=O$123),AND(D124=O$123,E124=O$122))),5,0)</f>
        <v>0</v>
      </c>
      <c r="AA126" s="1" t="e">
        <f t="shared" si="36"/>
        <v>#N/A</v>
      </c>
      <c r="AB126" s="1" t="e">
        <f t="shared" si="37"/>
        <v>#N/A</v>
      </c>
      <c r="AC126" s="1" t="e">
        <f t="shared" si="38"/>
        <v>#N/A</v>
      </c>
      <c r="AD126" s="1" t="e">
        <f t="shared" si="39"/>
        <v>#N/A</v>
      </c>
      <c r="AF126" s="1">
        <f>IF(AND(Y$123=Y$124,OR(AND(D124=O$123,E124=O$124),AND(D124=O$124,E124=O$123))),5,0)</f>
        <v>0</v>
      </c>
      <c r="AG126" s="1" t="e">
        <f t="shared" si="40"/>
        <v>#N/A</v>
      </c>
      <c r="AH126" s="1" t="e">
        <f t="shared" si="41"/>
        <v>#N/A</v>
      </c>
      <c r="AI126" s="1" t="e">
        <f t="shared" si="42"/>
        <v>#N/A</v>
      </c>
      <c r="AJ126" s="1" t="e">
        <f t="shared" si="43"/>
        <v>#N/A</v>
      </c>
      <c r="AL126" s="1">
        <f>IF(AND($Y$124=$Y$125,OR(AND($D124=$O$124,$E124=$O$125),AND($D124=$O$125,$E124=$O$124))),5,0)</f>
        <v>0</v>
      </c>
      <c r="AM126" s="1" t="e">
        <f t="shared" si="44"/>
        <v>#N/A</v>
      </c>
      <c r="AN126" s="1" t="e">
        <f t="shared" si="45"/>
        <v>#N/A</v>
      </c>
      <c r="AO126" s="1" t="e">
        <f t="shared" si="46"/>
        <v>#N/A</v>
      </c>
      <c r="AP126" s="1" t="e">
        <f t="shared" si="47"/>
        <v>#N/A</v>
      </c>
      <c r="AS126" s="40" t="str">
        <f>IF(AND(P127=12,SUM(AS122:AS124)&lt;&gt;6),"UEFA / Fairplay / Los !","")</f>
        <v/>
      </c>
      <c r="AT126" s="24"/>
      <c r="AU126" s="22"/>
      <c r="AV126" s="25"/>
      <c r="AW126" s="18"/>
    </row>
    <row r="127" spans="1:54" hidden="1" outlineLevel="1">
      <c r="B127" s="48"/>
      <c r="D127" s="14"/>
      <c r="E127" s="14"/>
      <c r="F127" s="14"/>
      <c r="G127" s="14"/>
      <c r="I127" s="1">
        <f>IF(F133="",0,IF(F133=G133,J$118,IF(F133&gt;G133,I$118,0)))</f>
        <v>0</v>
      </c>
      <c r="J127" s="1">
        <f>IF(G133="",0,IF(F133=G133,J$118,IF(F133&lt;G133,I$118,0)))</f>
        <v>0</v>
      </c>
      <c r="P127" s="1">
        <f>SUM(P122:P126)</f>
        <v>0</v>
      </c>
      <c r="Z127" s="1">
        <f>IF(AND(Y$122=Y$123,OR(AND(D125=O$122,E125=O$123),AND(D125=O$123,E125=O$122))),6,0)</f>
        <v>0</v>
      </c>
      <c r="AA127" s="1" t="e">
        <f t="shared" si="36"/>
        <v>#N/A</v>
      </c>
      <c r="AB127" s="1" t="e">
        <f t="shared" si="37"/>
        <v>#N/A</v>
      </c>
      <c r="AC127" s="1" t="e">
        <f t="shared" si="38"/>
        <v>#N/A</v>
      </c>
      <c r="AD127" s="1" t="e">
        <f t="shared" si="39"/>
        <v>#N/A</v>
      </c>
      <c r="AF127" s="1">
        <f>IF(AND(Y$123=Y$124,OR(AND(D125=O$123,E125=O$124),AND(D125=O$124,E125=O$123))),6,0)</f>
        <v>6</v>
      </c>
      <c r="AG127" s="1" t="str">
        <f t="shared" si="40"/>
        <v>Costa Rica</v>
      </c>
      <c r="AH127" s="1" t="str">
        <f t="shared" si="41"/>
        <v>England</v>
      </c>
      <c r="AI127" s="1">
        <f t="shared" si="42"/>
        <v>0</v>
      </c>
      <c r="AJ127" s="1">
        <f t="shared" si="43"/>
        <v>0</v>
      </c>
      <c r="AL127" s="1">
        <f>IF(AND($Y$124=$Y$125,OR(AND($D125=$O$124,$E125=$O$125),AND($D125=$O$125,$E125=$O$124))),6,0)</f>
        <v>0</v>
      </c>
      <c r="AM127" s="1" t="e">
        <f t="shared" si="44"/>
        <v>#N/A</v>
      </c>
      <c r="AN127" s="1" t="e">
        <f t="shared" si="45"/>
        <v>#N/A</v>
      </c>
      <c r="AO127" s="1" t="e">
        <f t="shared" si="46"/>
        <v>#N/A</v>
      </c>
      <c r="AP127" s="1" t="e">
        <f t="shared" si="47"/>
        <v>#N/A</v>
      </c>
      <c r="AR127" s="1">
        <f>IF(ISERROR(AC129),0,1)+IF(ISERROR(AI129),0,1)</f>
        <v>2</v>
      </c>
    </row>
    <row r="128" spans="1:54" hidden="1" outlineLevel="1">
      <c r="B128" s="48"/>
      <c r="D128" s="14"/>
      <c r="E128" s="14"/>
      <c r="F128" s="14"/>
      <c r="G128" s="14"/>
      <c r="I128" s="1">
        <f>IF(F125="",0,IF(F125=G125,J$118,IF(F125&gt;G125,I$118,0)))</f>
        <v>0</v>
      </c>
      <c r="J128" s="1">
        <f>IF(G125="",0,IF(F125=G125,J$118,IF(F125&lt;G125,I$118,0)))</f>
        <v>0</v>
      </c>
      <c r="AB128"/>
      <c r="AR128" s="1">
        <f>IF(ISERROR(AO129),0,1)+IF(ISERROR(AI129),0,1)</f>
        <v>2</v>
      </c>
    </row>
    <row r="129" spans="2:44" hidden="1" outlineLevel="1">
      <c r="B129" s="48"/>
      <c r="D129" s="14"/>
      <c r="E129" s="14"/>
      <c r="F129" s="14"/>
      <c r="G129" s="14"/>
      <c r="I129" s="1">
        <f>IF(F134="",0,IF(F134=G134,J$118,IF(F134&gt;G134,I$118,0)))</f>
        <v>0</v>
      </c>
      <c r="J129" s="1">
        <f>IF(G134="",0,IF(F134=G134,J$118,IF(F134&lt;G134,I$118,0)))</f>
        <v>0</v>
      </c>
      <c r="Z129" s="1">
        <f>MAX(Z122:Z127)</f>
        <v>1</v>
      </c>
      <c r="AA129" s="1" t="str">
        <f>VLOOKUP(Z129,Z122:AD127,2,0)</f>
        <v>Uruguay</v>
      </c>
      <c r="AB129" s="1" t="str">
        <f>VLOOKUP(Z129,Z122:AD127,3,0)</f>
        <v>Costa Rica</v>
      </c>
      <c r="AC129" s="1">
        <f>VLOOKUP(Z129,Z122:AD127,4,0)-VLOOKUP(Z129,Z122:AD127,5,0)</f>
        <v>0</v>
      </c>
      <c r="AF129" s="1">
        <f>MAX(AF122:AF127)</f>
        <v>6</v>
      </c>
      <c r="AG129" s="1" t="str">
        <f>VLOOKUP(AF129,AF122:AJ127,2,0)</f>
        <v>Costa Rica</v>
      </c>
      <c r="AH129" s="1" t="str">
        <f>VLOOKUP(AF129,AF122:AJ127,3,0)</f>
        <v>England</v>
      </c>
      <c r="AI129" s="1">
        <f>VLOOKUP(AF129,AF122:AJ127,4,0)-VLOOKUP(AF129,AF122:AJ127,5,0)</f>
        <v>0</v>
      </c>
      <c r="AL129" s="1">
        <f>MAX(AL122:AL127)</f>
        <v>2</v>
      </c>
      <c r="AM129" s="1" t="str">
        <f>VLOOKUP(AL129,AL122:AP127,2,0)</f>
        <v>England</v>
      </c>
      <c r="AN129" s="1" t="str">
        <f>VLOOKUP(AL129,AL122:AP127,3,0)</f>
        <v>Italien</v>
      </c>
      <c r="AO129" s="1">
        <f>VLOOKUP(AL129,AL122:AP127,4,0)-VLOOKUP(AL129,AL122:AP127,5,0)</f>
        <v>0</v>
      </c>
      <c r="AR129" s="1">
        <f>IF(OR(AR127=2,AR128=2),1,0)</f>
        <v>1</v>
      </c>
    </row>
    <row r="130" spans="2:44" hidden="1" outlineLevel="1">
      <c r="B130" s="48"/>
    </row>
    <row r="131" spans="2:44" ht="15.75" hidden="1" outlineLevel="1" thickBot="1">
      <c r="B131" s="49" t="s">
        <v>12</v>
      </c>
      <c r="D131" s="3" t="str">
        <f>B$131</f>
        <v>#######</v>
      </c>
      <c r="E131" s="3" t="str">
        <f>B122</f>
        <v>Uruguay</v>
      </c>
      <c r="F131" s="5"/>
      <c r="G131" s="6"/>
      <c r="N131" s="26">
        <f>IF(M126=M125,"",K126)</f>
        <v>5</v>
      </c>
      <c r="O131" s="27" t="str">
        <f>VLOOKUP($K126,$A$150:$G$154,3,0)</f>
        <v>#######</v>
      </c>
      <c r="P131" s="28">
        <f>VLOOKUP($K126,$A$150:$K$154,11,0)</f>
        <v>0</v>
      </c>
      <c r="Q131" s="29">
        <f>VLOOKUP($K126,$A$150:$G$154,4,0)</f>
        <v>0</v>
      </c>
      <c r="R131" s="30">
        <f>VLOOKUP($K126,$A$150:$G$154,5,0)</f>
        <v>-100</v>
      </c>
      <c r="S131" s="30">
        <f>VLOOKUP($K126,$A$150:$G$154,6,0)</f>
        <v>0</v>
      </c>
      <c r="T131" s="31">
        <f>VLOOKUP($K126,$A$150:$G$154,7,0)</f>
        <v>-100</v>
      </c>
      <c r="U131" s="32">
        <f>VLOOKUP($K126,$A$150:$M$154,12,0)</f>
        <v>0</v>
      </c>
      <c r="V131" s="33">
        <f>VLOOKUP($K126,$A$150:$M$154,13,0)</f>
        <v>0</v>
      </c>
      <c r="W131" s="34">
        <f>P131-U131-V131</f>
        <v>0</v>
      </c>
    </row>
    <row r="132" spans="2:44" hidden="1" outlineLevel="1">
      <c r="B132" s="48"/>
      <c r="D132" s="3" t="str">
        <f>B$125</f>
        <v>Italien</v>
      </c>
      <c r="E132" s="3" t="str">
        <f>B131</f>
        <v>#######</v>
      </c>
      <c r="F132" s="5"/>
      <c r="G132" s="6"/>
      <c r="AA132" s="5"/>
      <c r="AB132" s="6"/>
    </row>
    <row r="133" spans="2:44" hidden="1" outlineLevel="1">
      <c r="B133" s="48"/>
      <c r="D133" s="3" t="str">
        <f>B131</f>
        <v>#######</v>
      </c>
      <c r="E133" s="3" t="str">
        <f>B123</f>
        <v>Costa Rica</v>
      </c>
      <c r="F133" s="5"/>
      <c r="G133" s="6"/>
      <c r="AA133" s="5"/>
      <c r="AB133" s="6"/>
    </row>
    <row r="134" spans="2:44" hidden="1" outlineLevel="1">
      <c r="B134" s="48"/>
      <c r="D134" s="3" t="str">
        <f>B124</f>
        <v>England</v>
      </c>
      <c r="E134" s="3" t="str">
        <f>B131</f>
        <v>#######</v>
      </c>
      <c r="F134" s="5"/>
      <c r="G134" s="6"/>
      <c r="AA134" s="5"/>
      <c r="AB134" s="6"/>
    </row>
    <row r="135" spans="2:44" hidden="1" outlineLevel="1">
      <c r="B135" s="48"/>
      <c r="AA135" s="5"/>
      <c r="AB135" s="6"/>
    </row>
    <row r="136" spans="2:44" hidden="1" outlineLevel="1">
      <c r="B136" s="48"/>
      <c r="D136" s="3" t="str">
        <f>B122</f>
        <v>Uruguay</v>
      </c>
      <c r="G136" s="1" t="str">
        <f>B123</f>
        <v>Costa Rica</v>
      </c>
      <c r="J136" s="1" t="str">
        <f>B124</f>
        <v>England</v>
      </c>
      <c r="M136" s="1" t="str">
        <f>B125</f>
        <v>Italien</v>
      </c>
      <c r="P136" s="1" t="str">
        <f>B131</f>
        <v>#######</v>
      </c>
      <c r="AA136" s="5"/>
      <c r="AB136" s="6"/>
    </row>
    <row r="137" spans="2:44" hidden="1" outlineLevel="1">
      <c r="B137" s="48"/>
      <c r="D137" s="3" t="s">
        <v>13</v>
      </c>
      <c r="E137" s="36" t="s">
        <v>4</v>
      </c>
      <c r="F137" s="21" t="s">
        <v>14</v>
      </c>
      <c r="G137" s="22" t="s">
        <v>13</v>
      </c>
      <c r="H137" s="60" t="s">
        <v>4</v>
      </c>
      <c r="I137" s="21" t="s">
        <v>14</v>
      </c>
      <c r="J137" s="22" t="s">
        <v>13</v>
      </c>
      <c r="K137" s="37" t="s">
        <v>4</v>
      </c>
      <c r="L137" s="21" t="s">
        <v>14</v>
      </c>
      <c r="M137" s="22" t="s">
        <v>13</v>
      </c>
      <c r="N137" s="37" t="s">
        <v>4</v>
      </c>
      <c r="O137" s="21" t="s">
        <v>14</v>
      </c>
      <c r="P137" s="22" t="s">
        <v>13</v>
      </c>
      <c r="Q137" s="37" t="s">
        <v>4</v>
      </c>
      <c r="R137" s="21" t="s">
        <v>14</v>
      </c>
      <c r="AA137" s="5"/>
      <c r="AB137" s="6"/>
    </row>
    <row r="138" spans="2:44" hidden="1" outlineLevel="1">
      <c r="B138" s="48"/>
      <c r="D138" s="3" t="str">
        <f>IF(AND(OR($D120=D$136,$E120=D$136),$F120=""),"A",IF($D120=D$136,$I120,0)+IF($E120=D$136,$J120,0))</f>
        <v>A</v>
      </c>
      <c r="E138" s="3">
        <f>IF($D120=D$136,$F120,0)+IF($E120=D$136,$G120,0)</f>
        <v>0</v>
      </c>
      <c r="F138" s="1">
        <f>IF($D120=D$136,-$G120,0)+IF($E120=D$136,-$F120,0)</f>
        <v>0</v>
      </c>
      <c r="G138" s="22" t="str">
        <f>IF(AND(OR($D120=G$136,$E120=G$136),$F120=""),"A",IF($D120=G$136,$I120,0)+IF($E120=G$136,$J120,0))</f>
        <v>A</v>
      </c>
      <c r="H138" s="59">
        <f>IF($D120=G$136,$F120,0)+IF($E120=G$136,$G120,0)</f>
        <v>0</v>
      </c>
      <c r="I138" s="1">
        <f>IF($D120=G$136,-$G120,0)+IF($E120=G$136,-$F120,0)</f>
        <v>0</v>
      </c>
      <c r="J138" s="22">
        <f>IF(AND(OR($D120=J$136,$E120=J$136),$F120=""),"A",IF($D120=J$136,$I120,0)+IF($E120=J$136,$J120,0))</f>
        <v>0</v>
      </c>
      <c r="K138" s="22">
        <f>IF($D120=J$136,$F120,0)+IF($E120=J$136,$G120,0)</f>
        <v>0</v>
      </c>
      <c r="L138" s="1">
        <f>IF($D120=J$136,-$G120,0)+IF($E120=J$136,-$F120,0)</f>
        <v>0</v>
      </c>
      <c r="M138" s="22">
        <f>IF(AND(OR($D120=M$136,$E120=M$136),$F120=""),"A",IF($D120=M$136,$I120,0)+IF($E120=M$136,$J120,0))</f>
        <v>0</v>
      </c>
      <c r="N138" s="22">
        <f>IF($D120=M$136,$F120,0)+IF($E120=M$136,$G120,0)</f>
        <v>0</v>
      </c>
      <c r="O138" s="1">
        <f>IF($D120=M$136,-$G120,0)+IF($E120=M$136,-$F120,0)</f>
        <v>0</v>
      </c>
      <c r="P138" s="22">
        <f>IF(AND(OR($D120=P$136,$E120=P$136),$F120=""),"A",IF($D120=P$136,$I120,0)+IF($E120=P$136,$J120,0))</f>
        <v>0</v>
      </c>
      <c r="Q138" s="22">
        <f>IF($D120=P$136,$F120,0)+IF($E120=P$136,$G120,0)</f>
        <v>0</v>
      </c>
      <c r="R138" s="1">
        <f>IF($D120=P$136,-$G120,0)+IF($E120=P$136,-$F120,0)</f>
        <v>0</v>
      </c>
    </row>
    <row r="139" spans="2:44" hidden="1" outlineLevel="1">
      <c r="B139" s="48"/>
      <c r="D139" s="3">
        <f>IF(AND(OR($D121=D$136,$E121=D$136),$F121=""),"A",IF($D121=D$136,$I121,0)+IF($E121=D$136,$J121,0))</f>
        <v>0</v>
      </c>
      <c r="E139" s="3">
        <f>IF($D121=$B$122,$F121,0)+IF($E121=$B$122,$G121,0)</f>
        <v>0</v>
      </c>
      <c r="F139" s="1">
        <f>IF($D121=$B$122,-$G121,0)+IF($E121=$B$122,-$F121,0)</f>
        <v>0</v>
      </c>
      <c r="G139" s="22">
        <f>IF(AND(OR($D121=G$136,$E121=G$136),$F121=""),"A",IF($D121=G$136,$I121,0)+IF($E121=G$136,$J121,0))</f>
        <v>0</v>
      </c>
      <c r="H139" s="59">
        <f>IF($D121=G$136,$F121,0)+IF($E121=G$136,$G121,0)</f>
        <v>0</v>
      </c>
      <c r="I139" s="1">
        <f>IF($D121=G$136,-$G121,0)+IF($E121=G$136,-$F121,0)</f>
        <v>0</v>
      </c>
      <c r="J139" s="22" t="str">
        <f>IF(AND(OR($D121=J$136,$E121=J$136),$F121=""),"A",IF($D121=J$136,$I121,0)+IF($E121=J$136,$J121,0))</f>
        <v>A</v>
      </c>
      <c r="K139" s="22">
        <f>IF($D121=J$136,$F121,0)+IF($E121=J$136,$G121,0)</f>
        <v>0</v>
      </c>
      <c r="L139" s="1">
        <f>IF($D121=J$136,-$G121,0)+IF($E121=J$136,-$F121,0)</f>
        <v>0</v>
      </c>
      <c r="M139" s="22" t="str">
        <f>IF(AND(OR($D121=M$136,$E121=M$136),$F121=""),"A",IF($D121=M$136,$I121,0)+IF($E121=M$136,$J121,0))</f>
        <v>A</v>
      </c>
      <c r="N139" s="22">
        <f>IF($D121=M$136,$F121,0)+IF($E121=M$136,$G121,0)</f>
        <v>0</v>
      </c>
      <c r="O139" s="1">
        <f>IF($D121=M$136,-$G121,0)+IF($E121=M$136,-$F121,0)</f>
        <v>0</v>
      </c>
      <c r="P139" s="22">
        <f>IF(AND(OR($D121=P$136,$E121=P$136),$F121=""),"A",IF($D121=P$136,$I121,0)+IF($E121=P$136,$J121,0))</f>
        <v>0</v>
      </c>
      <c r="Q139" s="22">
        <f>IF($D121=P$136,$F121,0)+IF($E121=P$136,$G121,0)</f>
        <v>0</v>
      </c>
      <c r="R139" s="1">
        <f>IF($D121=P$136,-$G121,0)+IF($E121=P$136,-$F121,0)</f>
        <v>0</v>
      </c>
    </row>
    <row r="140" spans="2:44" hidden="1" outlineLevel="1">
      <c r="B140" s="48"/>
      <c r="D140" s="3" t="str">
        <f>IF(AND(OR($D131=D$136,$E131=D$136),$F131=""),"A",IF($D131=D$136,$I122,0)+IF($E131=D$136,$J122,0))</f>
        <v>A</v>
      </c>
      <c r="E140" s="3">
        <f>IF($D131=$B$122,$F131,0)+IF($E131=$B$122,$G131,0)</f>
        <v>0</v>
      </c>
      <c r="F140" s="1">
        <f>IF($D131=$B$122,-$G131,0)+IF($E131=$B$122,-$F131,0)</f>
        <v>0</v>
      </c>
      <c r="G140" s="22">
        <f>IF(AND(OR($D131=G$136,$E131=G$136),$F131=""),"A",IF($D131=G$136,$I122,0)+IF($E131=G$136,$J122,0))</f>
        <v>0</v>
      </c>
      <c r="H140" s="59">
        <f>IF($D131=G$136,$F131,0)+IF($E131=G$136,$G131,0)</f>
        <v>0</v>
      </c>
      <c r="I140" s="1">
        <f>IF($D131=G$136,-$G131,0)+IF($E131=G$136,-$F131,0)</f>
        <v>0</v>
      </c>
      <c r="J140" s="22">
        <f>IF(AND(OR($D131=J$136,$E131=J$136),$F131=""),"A",IF($D131=J$136,$I122,0)+IF($E131=J$136,$J122,0))</f>
        <v>0</v>
      </c>
      <c r="K140" s="22">
        <f>IF($D131=J$136,$F131,0)+IF($E131=J$136,$G131,0)</f>
        <v>0</v>
      </c>
      <c r="L140" s="1">
        <f>IF($D131=J$136,-$G131,0)+IF($E131=J$136,-$F131,0)</f>
        <v>0</v>
      </c>
      <c r="M140" s="22">
        <f>IF(AND(OR($D131=M$136,$E131=M$136),$F131=""),"A",IF($D131=M$136,$I122,0)+IF($E131=M$136,$J122,0))</f>
        <v>0</v>
      </c>
      <c r="N140" s="22">
        <f>IF($D131=M$136,$F131,0)+IF($E131=M$136,$G131,0)</f>
        <v>0</v>
      </c>
      <c r="O140" s="1">
        <f>IF($D131=M$136,-$G131,0)+IF($E131=M$136,-$F131,0)</f>
        <v>0</v>
      </c>
      <c r="P140" s="22" t="str">
        <f>IF(AND(OR($D131=P$136,$E131=P$136),$F131=""),"A",IF($D131=P$136,$I122,0)+IF($E131=P$136,$J122,0))</f>
        <v>A</v>
      </c>
      <c r="Q140" s="22">
        <f>IF($D131=P$136,$F131,0)+IF($E131=P$136,$G131,0)</f>
        <v>0</v>
      </c>
      <c r="R140" s="1">
        <f>IF($D131=P$136,-$G131,0)+IF($E131=P$136,-$F131,0)</f>
        <v>0</v>
      </c>
    </row>
    <row r="141" spans="2:44" hidden="1" outlineLevel="1">
      <c r="B141" s="48"/>
      <c r="D141" s="3" t="str">
        <f>IF(AND(OR($D122=D$136,$E122=D$136),$F122=""),"A",IF($D122=D$136,$I123,0)+IF($E122=D$136,$J123,0))</f>
        <v>A</v>
      </c>
      <c r="E141" s="3">
        <f>IF($D122=$B$122,$F122,0)+IF($E122=$B$122,$G122,0)</f>
        <v>0</v>
      </c>
      <c r="F141" s="1">
        <f>IF($D122=$B$122,-$G122,0)+IF($E122=$B$122,-$F122,0)</f>
        <v>0</v>
      </c>
      <c r="G141" s="22">
        <f>IF(AND(OR($D122=G$136,$E122=G$136),$F122=""),"A",IF($D122=G$136,$I123,0)+IF($E122=G$136,$J123,0))</f>
        <v>0</v>
      </c>
      <c r="H141" s="59">
        <f>IF($D122=G$136,$F122,0)+IF($E122=G$136,$G122,0)</f>
        <v>0</v>
      </c>
      <c r="I141" s="1">
        <f>IF($D122=G$136,-$G122,0)+IF($E122=G$136,-$F122,0)</f>
        <v>0</v>
      </c>
      <c r="J141" s="22" t="str">
        <f>IF(AND(OR($D122=J$136,$E122=J$136),$F122=""),"A",IF($D122=J$136,$I123,0)+IF($E122=J$136,$J123,0))</f>
        <v>A</v>
      </c>
      <c r="K141" s="22">
        <f>IF($D122=J$136,$F122,0)+IF($E122=J$136,$G122,0)</f>
        <v>0</v>
      </c>
      <c r="L141" s="1">
        <f>IF($D122=J$136,-$G122,0)+IF($E122=J$136,-$F122,0)</f>
        <v>0</v>
      </c>
      <c r="M141" s="22">
        <f>IF(AND(OR($D122=M$136,$E122=M$136),$F122=""),"A",IF($D122=M$136,$I123,0)+IF($E122=M$136,$J123,0))</f>
        <v>0</v>
      </c>
      <c r="N141" s="22">
        <f>IF($D122=M$136,$F122,0)+IF($E122=M$136,$G122,0)</f>
        <v>0</v>
      </c>
      <c r="O141" s="1">
        <f>IF($D122=M$136,-$G122,0)+IF($E122=M$136,-$F122,0)</f>
        <v>0</v>
      </c>
      <c r="P141" s="22">
        <f>IF(AND(OR($D122=P$136,$E122=P$136),$F122=""),"A",IF($D122=P$136,$I123,0)+IF($E122=P$136,$J123,0))</f>
        <v>0</v>
      </c>
      <c r="Q141" s="22">
        <f>IF($D122=P$136,$F122,0)+IF($E122=P$136,$G122,0)</f>
        <v>0</v>
      </c>
      <c r="R141" s="1">
        <f>IF($D122=P$136,-$G122,0)+IF($E122=P$136,-$F122,0)</f>
        <v>0</v>
      </c>
    </row>
    <row r="142" spans="2:44" hidden="1" outlineLevel="1">
      <c r="B142" s="48"/>
      <c r="D142" s="3">
        <f>IF(AND(OR($D132=D$136,$E132=D$136),$F132=""),"A",IF($D132=D$136,$I124,0)+IF($E132=D$136,$J124,0))</f>
        <v>0</v>
      </c>
      <c r="E142" s="3">
        <f>IF($D132=$B$122,$F132,0)+IF($E132=$B$122,$G132,0)</f>
        <v>0</v>
      </c>
      <c r="F142" s="1">
        <f>IF($D132=$B$122,-$G132,0)+IF($E132=$B$122,-$F132,0)</f>
        <v>0</v>
      </c>
      <c r="G142" s="22">
        <f>IF(AND(OR($D132=G$136,$E132=G$136),$F132=""),"A",IF($D132=G$136,$I124,0)+IF($E132=G$136,$J124,0))</f>
        <v>0</v>
      </c>
      <c r="H142" s="59">
        <f>IF($D132=G$136,$F132,0)+IF($E132=G$136,$G132,0)</f>
        <v>0</v>
      </c>
      <c r="I142" s="1">
        <f>IF($D132=G$136,-$G132,0)+IF($E132=G$136,-$F132,0)</f>
        <v>0</v>
      </c>
      <c r="J142" s="22">
        <f>IF(AND(OR($D132=J$136,$E132=J$136),$F132=""),"A",IF($D132=J$136,$I124,0)+IF($E132=J$136,$J124,0))</f>
        <v>0</v>
      </c>
      <c r="K142" s="22">
        <f>IF($D132=J$136,$F132,0)+IF($E132=J$136,$G132,0)</f>
        <v>0</v>
      </c>
      <c r="L142" s="1">
        <f>IF($D132=J$136,-$G132,0)+IF($E132=J$136,-$F132,0)</f>
        <v>0</v>
      </c>
      <c r="M142" s="22" t="str">
        <f>IF(AND(OR($D132=M$136,$E132=M$136),$F132=""),"A",IF($D132=M$136,$I124,0)+IF($E132=M$136,$J124,0))</f>
        <v>A</v>
      </c>
      <c r="N142" s="22">
        <f>IF($D132=M$136,$F132,0)+IF($E132=M$136,$G132,0)</f>
        <v>0</v>
      </c>
      <c r="O142" s="1">
        <f>IF($D132=M$136,-$G132,0)+IF($E132=M$136,-$F132,0)</f>
        <v>0</v>
      </c>
      <c r="P142" s="22" t="str">
        <f>IF(AND(OR($D132=P$136,$E132=P$136),$F132=""),"A",IF($D132=P$136,$I124,0)+IF($E132=P$136,$J124,0))</f>
        <v>A</v>
      </c>
      <c r="Q142" s="22">
        <f>IF($D132=P$136,$F132,0)+IF($E132=P$136,$G132,0)</f>
        <v>0</v>
      </c>
      <c r="R142" s="1">
        <f>IF($D132=P$136,-$G132,0)+IF($E132=P$136,-$F132,0)</f>
        <v>0</v>
      </c>
    </row>
    <row r="143" spans="2:44" hidden="1" outlineLevel="1">
      <c r="B143" s="48"/>
      <c r="D143" s="3">
        <f>IF(AND(OR($D123=D$136,$E123=D$136),$F123=""),"A",IF($D123=D$136,$I125,0)+IF($E123=D$136,$J125,0))</f>
        <v>0</v>
      </c>
      <c r="E143" s="3">
        <f>IF($D123=$B$122,$F123,0)+IF($E123=$B$122,$G123,0)</f>
        <v>0</v>
      </c>
      <c r="F143" s="1">
        <f>IF($D123=$B$122,-$G123,0)+IF($E123=$B$122,-$F123,0)</f>
        <v>0</v>
      </c>
      <c r="G143" s="22" t="str">
        <f>IF(AND(OR($D123=G$136,$E123=G$136),$F123=""),"A",IF($D123=G$136,$I125,0)+IF($E123=G$136,$J125,0))</f>
        <v>A</v>
      </c>
      <c r="H143" s="59">
        <f>IF($D123=G$136,$F123,0)+IF($E123=G$136,$G123,0)</f>
        <v>0</v>
      </c>
      <c r="I143" s="1">
        <f>IF($D123=G$136,-$G123,0)+IF($E123=G$136,-$F123,0)</f>
        <v>0</v>
      </c>
      <c r="J143" s="22">
        <f>IF(AND(OR($D123=J$136,$E123=J$136),$F123=""),"A",IF($D123=J$136,$I125,0)+IF($E123=J$136,$J125,0))</f>
        <v>0</v>
      </c>
      <c r="K143" s="22">
        <f>IF($D123=J$136,$F123,0)+IF($E123=J$136,$G123,0)</f>
        <v>0</v>
      </c>
      <c r="L143" s="1">
        <f>IF($D123=J$136,-$G123,0)+IF($E123=J$136,-$F123,0)</f>
        <v>0</v>
      </c>
      <c r="M143" s="22" t="str">
        <f>IF(AND(OR($D123=M$136,$E123=M$136),$F123=""),"A",IF($D123=M$136,$I125,0)+IF($E123=M$136,$J125,0))</f>
        <v>A</v>
      </c>
      <c r="N143" s="22">
        <f>IF($D123=M$136,$F123,0)+IF($E123=M$136,$G123,0)</f>
        <v>0</v>
      </c>
      <c r="O143" s="1">
        <f>IF($D123=M$136,-$G123,0)+IF($E123=M$136,-$F123,0)</f>
        <v>0</v>
      </c>
      <c r="P143" s="22">
        <f>IF(AND(OR($D123=P$136,$E123=P$136),$F123=""),"A",IF($D123=P$136,$I125,0)+IF($E123=P$136,$J125,0))</f>
        <v>0</v>
      </c>
      <c r="Q143" s="22">
        <f>IF($D123=P$136,$F123,0)+IF($E123=P$136,$G123,0)</f>
        <v>0</v>
      </c>
      <c r="R143" s="1">
        <f>IF($D123=P$136,-$G123,0)+IF($E123=P$136,-$F123,0)</f>
        <v>0</v>
      </c>
    </row>
    <row r="144" spans="2:44" hidden="1" outlineLevel="1">
      <c r="B144" s="48"/>
      <c r="D144" s="3" t="str">
        <f>IF(AND(OR($D124=D$136,$E124=D$136),$F124=""),"A",IF($D124=D$136,$I126,0)+IF($E124=D$136,$J126,0))</f>
        <v>A</v>
      </c>
      <c r="E144" s="3">
        <f>IF($D124=$B$122,$F124,0)+IF($E124=$B$122,$G124,0)</f>
        <v>0</v>
      </c>
      <c r="F144" s="1">
        <f>IF($D124=$B$122,-$G124,0)+IF($E124=$B$122,-$F124,0)</f>
        <v>0</v>
      </c>
      <c r="G144" s="22">
        <f>IF(AND(OR($D124=G$136,$E124=G$136),$F124=""),"A",IF($D124=G$136,$I126,0)+IF($E124=G$136,$J126,0))</f>
        <v>0</v>
      </c>
      <c r="H144" s="59">
        <f>IF($D124=G$136,$F124,0)+IF($E124=G$136,$G124,0)</f>
        <v>0</v>
      </c>
      <c r="I144" s="1">
        <f>IF($D124=G$136,-$G124,0)+IF($E124=G$136,-$F124,0)</f>
        <v>0</v>
      </c>
      <c r="J144" s="22">
        <f>IF(AND(OR($D124=J$136,$E124=J$136),$F124=""),"A",IF($D124=J$136,$I126,0)+IF($E124=J$136,$J126,0))</f>
        <v>0</v>
      </c>
      <c r="K144" s="22">
        <f>IF($D124=J$136,$F124,0)+IF($E124=J$136,$G124,0)</f>
        <v>0</v>
      </c>
      <c r="L144" s="1">
        <f>IF($D124=J$136,-$G124,0)+IF($E124=J$136,-$F124,0)</f>
        <v>0</v>
      </c>
      <c r="M144" s="22" t="str">
        <f>IF(AND(OR($D124=M$136,$E124=M$136),$F124=""),"A",IF($D124=M$136,$I126,0)+IF($E124=M$136,$J126,0))</f>
        <v>A</v>
      </c>
      <c r="N144" s="22">
        <f>IF($D124=M$136,$F124,0)+IF($E124=M$136,$G124,0)</f>
        <v>0</v>
      </c>
      <c r="O144" s="1">
        <f>IF($D124=M$136,-$G124,0)+IF($E124=M$136,-$F124,0)</f>
        <v>0</v>
      </c>
      <c r="P144" s="22">
        <f>IF(AND(OR($D124=P$136,$E124=P$136),$F124=""),"A",IF($D124=P$136,$I126,0)+IF($E124=P$136,$J126,0))</f>
        <v>0</v>
      </c>
      <c r="Q144" s="22">
        <f>IF($D124=P$136,$F124,0)+IF($E124=P$136,$G124,0)</f>
        <v>0</v>
      </c>
      <c r="R144" s="1">
        <f>IF($D124=P$136,-$G124,0)+IF($E124=P$136,-$F124,0)</f>
        <v>0</v>
      </c>
    </row>
    <row r="145" spans="1:54" hidden="1" outlineLevel="1">
      <c r="B145" s="48"/>
      <c r="D145" s="3">
        <f>IF(AND(OR($D133=D$136,$E133=D$136),$F133=""),"A",IF($D133=D$136,$I127,0)+IF($E133=D$136,$J127,0))</f>
        <v>0</v>
      </c>
      <c r="E145" s="3">
        <f>IF($D133=$B$122,$F133,0)+IF($E133=$B$122,$G133,0)</f>
        <v>0</v>
      </c>
      <c r="F145" s="1">
        <f>IF($D133=$B$122,-$G133,0)+IF($E133=$B$122,-$F133,0)</f>
        <v>0</v>
      </c>
      <c r="G145" s="22" t="str">
        <f>IF(AND(OR($D133=G$136,$E133=G$136),$F133=""),"A",IF($D133=G$136,$I127,0)+IF($E133=G$136,$J127,0))</f>
        <v>A</v>
      </c>
      <c r="H145" s="59">
        <f>IF($D133=G$136,$F133,0)+IF($E133=G$136,$G133,0)</f>
        <v>0</v>
      </c>
      <c r="I145" s="1">
        <f>IF($D133=G$136,-$G133,0)+IF($E133=G$136,-$F133,0)</f>
        <v>0</v>
      </c>
      <c r="J145" s="22">
        <f>IF(AND(OR($D133=J$136,$E133=J$136),$F133=""),"A",IF($D133=J$136,$I127,0)+IF($E133=J$136,$J127,0))</f>
        <v>0</v>
      </c>
      <c r="K145" s="22">
        <f>IF($D133=J$136,$F133,0)+IF($E133=J$136,$G133,0)</f>
        <v>0</v>
      </c>
      <c r="L145" s="1">
        <f>IF($D133=J$136,-$G133,0)+IF($E133=J$136,-$F133,0)</f>
        <v>0</v>
      </c>
      <c r="M145" s="22">
        <f>IF(AND(OR($D133=M$136,$E133=M$136),$F133=""),"A",IF($D133=M$136,$I127,0)+IF($E133=M$136,$J127,0))</f>
        <v>0</v>
      </c>
      <c r="N145" s="22">
        <f>IF($D133=M$136,$F133,0)+IF($E133=M$136,$G133,0)</f>
        <v>0</v>
      </c>
      <c r="O145" s="1">
        <f>IF($D133=M$136,-$G133,0)+IF($E133=M$136,-$F133,0)</f>
        <v>0</v>
      </c>
      <c r="P145" s="22" t="str">
        <f>IF(AND(OR($D133=P$136,$E133=P$136),$F133=""),"A",IF($D133=P$136,$I127,0)+IF($E133=P$136,$J127,0))</f>
        <v>A</v>
      </c>
      <c r="Q145" s="22">
        <f>IF($D133=P$136,$F133,0)+IF($E133=P$136,$G133,0)</f>
        <v>0</v>
      </c>
      <c r="R145" s="1">
        <f>IF($D133=P$136,-$G133,0)+IF($E133=P$136,-$F133,0)</f>
        <v>0</v>
      </c>
    </row>
    <row r="146" spans="1:54" hidden="1" outlineLevel="1">
      <c r="B146" s="48"/>
      <c r="D146" s="3">
        <f>IF(AND(OR($D125=D$136,$E125=D$136),$F125=""),"A",IF($D125=D$136,$I128,0)+IF($E125=D$136,$J128,0))</f>
        <v>0</v>
      </c>
      <c r="E146" s="3">
        <f>IF($D125=$B$122,$F125,0)+IF($E125=$B$122,$G125,0)</f>
        <v>0</v>
      </c>
      <c r="F146" s="1">
        <f>IF($D125=$B$122,-$G125,0)+IF($E125=$B$122,-$F125,0)</f>
        <v>0</v>
      </c>
      <c r="G146" s="22" t="str">
        <f>IF(AND(OR($D125=G$136,$E125=G$136),$F125=""),"A",IF($D125=G$136,$I128,0)+IF($E125=G$136,$J128,0))</f>
        <v>A</v>
      </c>
      <c r="H146" s="59">
        <f>IF($D125=G$136,$F125,0)+IF($E125=G$136,$G125,0)</f>
        <v>0</v>
      </c>
      <c r="I146" s="1">
        <f>IF($D125=G$136,-$G125,0)+IF($E125=G$136,-$F125,0)</f>
        <v>0</v>
      </c>
      <c r="J146" s="22" t="str">
        <f>IF(AND(OR($D125=J$136,$E125=J$136),$F125=""),"A",IF($D125=J$136,$I128,0)+IF($E125=J$136,$J128,0))</f>
        <v>A</v>
      </c>
      <c r="K146" s="22">
        <f>IF($D125=J$136,$F125,0)+IF($E125=J$136,$G125,0)</f>
        <v>0</v>
      </c>
      <c r="L146" s="1">
        <f>IF($D125=J$136,-$G125,0)+IF($E125=J$136,-$F125,0)</f>
        <v>0</v>
      </c>
      <c r="M146" s="22">
        <f>IF(AND(OR($D125=M$136,$E125=M$136),$F125=""),"A",IF($D125=M$136,$I128,0)+IF($E125=M$136,$J128,0))</f>
        <v>0</v>
      </c>
      <c r="N146" s="22">
        <f>IF($D125=M$136,$F125,0)+IF($E125=M$136,$G125,0)</f>
        <v>0</v>
      </c>
      <c r="O146" s="1">
        <f>IF($D125=M$136,-$G125,0)+IF($E125=M$136,-$F125,0)</f>
        <v>0</v>
      </c>
      <c r="P146" s="22">
        <f>IF(AND(OR($D125=P$136,$E125=P$136),$F125=""),"A",IF($D125=P$136,$I128,0)+IF($E125=P$136,$J128,0))</f>
        <v>0</v>
      </c>
      <c r="Q146" s="22">
        <f>IF($D125=P$136,$F125,0)+IF($E125=P$136,$G125,0)</f>
        <v>0</v>
      </c>
      <c r="R146" s="1">
        <f>IF($D125=P$136,-$G125,0)+IF($E125=P$136,-$F125,0)</f>
        <v>0</v>
      </c>
    </row>
    <row r="147" spans="1:54" hidden="1" outlineLevel="1">
      <c r="B147" s="48"/>
      <c r="D147" s="3">
        <f>IF(AND(OR($D134=D$136,$E134=D$136),$F134=""),"A",IF($D134=D$136,$I129,0)+IF($E134=D$136,$J129,0))</f>
        <v>0</v>
      </c>
      <c r="E147" s="3">
        <f>IF($D134=$B$122,$F134,0)+IF($E134=$B$122,$G134,0)</f>
        <v>0</v>
      </c>
      <c r="F147" s="1">
        <f>IF($D134=$B$122,-$G134,0)+IF($E134=$B$122,-$F134,0)</f>
        <v>0</v>
      </c>
      <c r="G147" s="22">
        <f>IF(AND(OR($D134=G$136,$E134=G$136),$F134=""),"A",IF($D134=G$136,$I129,0)+IF($E134=G$136,$J129,0))</f>
        <v>0</v>
      </c>
      <c r="H147" s="59">
        <f>IF($D134=G$136,$F134,0)+IF($E134=G$136,$G134,0)</f>
        <v>0</v>
      </c>
      <c r="I147" s="1">
        <f>IF($D134=G$136,-$G134,0)+IF($E134=G$136,-$F134,0)</f>
        <v>0</v>
      </c>
      <c r="J147" s="22" t="str">
        <f>IF(AND(OR($D134=J$136,$E134=J$136),$F134=""),"A",IF($D134=J$136,$I129,0)+IF($E134=J$136,$J129,0))</f>
        <v>A</v>
      </c>
      <c r="K147" s="22">
        <f>IF($D134=J$136,$F134,0)+IF($E134=J$136,$G134,0)</f>
        <v>0</v>
      </c>
      <c r="L147" s="1">
        <f>IF($D134=J$136,-$G134,0)+IF($E134=J$136,-$F134,0)</f>
        <v>0</v>
      </c>
      <c r="M147" s="22">
        <f>IF(AND(OR($D134=M$136,$E134=M$136),$F134=""),"A",IF($D134=M$136,$I129,0)+IF($E134=M$136,$J129,0))</f>
        <v>0</v>
      </c>
      <c r="N147" s="22">
        <f>IF($D134=M$136,$F134,0)+IF($E134=M$136,$G134,0)</f>
        <v>0</v>
      </c>
      <c r="O147" s="1">
        <f>IF($D134=M$136,-$G134,0)+IF($E134=M$136,-$F134,0)</f>
        <v>0</v>
      </c>
      <c r="P147" s="22" t="str">
        <f>IF(AND(OR($D134=P$136,$E134=P$136),$F134=""),"A",IF($D134=P$136,$I129,0)+IF($E134=P$136,$J129,0))</f>
        <v>A</v>
      </c>
      <c r="Q147" s="22">
        <f>IF($D134=P$136,$F134,0)+IF($E134=P$136,$G134,0)</f>
        <v>0</v>
      </c>
      <c r="R147" s="1">
        <f>IF($D134=P$136,-$G134,0)+IF($E134=P$136,-$F134,0)</f>
        <v>0</v>
      </c>
    </row>
    <row r="148" spans="1:54" hidden="1" outlineLevel="1">
      <c r="B148" s="48"/>
    </row>
    <row r="149" spans="1:54" hidden="1" outlineLevel="1">
      <c r="B149" s="48"/>
      <c r="H149" s="59" t="s">
        <v>15</v>
      </c>
      <c r="I149" s="1" t="s">
        <v>16</v>
      </c>
      <c r="J149" s="38" t="s">
        <v>4</v>
      </c>
      <c r="K149" s="1" t="s">
        <v>17</v>
      </c>
    </row>
    <row r="150" spans="1:54" hidden="1" outlineLevel="1">
      <c r="A150" s="21">
        <f>RANK(B150,B$150:B$154,1)</f>
        <v>1</v>
      </c>
      <c r="B150" s="48">
        <f>SUM(H150:J150)+ROW()/1000</f>
        <v>10110.15</v>
      </c>
      <c r="C150" s="22" t="str">
        <f>B122</f>
        <v>Uruguay</v>
      </c>
      <c r="D150" s="3">
        <f>SUM(D138:D147)</f>
        <v>0</v>
      </c>
      <c r="E150" s="3">
        <f>F150+G150</f>
        <v>0</v>
      </c>
      <c r="F150" s="22">
        <f>SUM(E138:E147)</f>
        <v>0</v>
      </c>
      <c r="G150" s="22">
        <f>SUM(F138:F147)</f>
        <v>0</v>
      </c>
      <c r="H150" s="59">
        <f>10000*RANK(D150,D$150:D$154)-N150</f>
        <v>10000</v>
      </c>
      <c r="I150" s="1">
        <f>100*RANK(E150,E$150:E$154)</f>
        <v>100</v>
      </c>
      <c r="J150" s="1">
        <f>10*RANK(F150,F$150:F$154)</f>
        <v>10</v>
      </c>
      <c r="K150" s="1">
        <f>4-COUNTIF(D$138:D$147,"A")</f>
        <v>0</v>
      </c>
      <c r="L150" s="1">
        <f>COUNTIF(D$138:D$147,I$118)</f>
        <v>0</v>
      </c>
      <c r="M150" s="1">
        <f>COUNTIF(D$138:D$147,J$118)</f>
        <v>0</v>
      </c>
      <c r="N150" s="1">
        <f>IF(A122&lt;&gt;"",500,0)</f>
        <v>0</v>
      </c>
      <c r="O150" s="39" t="str">
        <f>IF(A122&lt;&gt;"",UPPER(A122),"")</f>
        <v/>
      </c>
    </row>
    <row r="151" spans="1:54" hidden="1" outlineLevel="1">
      <c r="A151" s="21">
        <f>RANK(B151,B$150:B$154,1)</f>
        <v>2</v>
      </c>
      <c r="B151" s="48">
        <f>SUM(H151:J151)+ROW()/1000</f>
        <v>10110.151</v>
      </c>
      <c r="C151" s="22" t="str">
        <f>B123</f>
        <v>Costa Rica</v>
      </c>
      <c r="D151" s="3">
        <f>SUM(G138:G147)</f>
        <v>0</v>
      </c>
      <c r="E151" s="3">
        <f>F151+G151</f>
        <v>0</v>
      </c>
      <c r="F151" s="22">
        <f>SUM(H138:H147)</f>
        <v>0</v>
      </c>
      <c r="G151" s="22">
        <f>SUM(I138:I147)</f>
        <v>0</v>
      </c>
      <c r="H151" s="59">
        <f>10000*RANK(D151,D$150:D$154)-N151</f>
        <v>10000</v>
      </c>
      <c r="I151" s="1">
        <f>100*RANK(E151,E$150:E$154)</f>
        <v>100</v>
      </c>
      <c r="J151" s="1">
        <f>10*RANK(F151,F$150:F$154)</f>
        <v>10</v>
      </c>
      <c r="K151" s="1">
        <f>4-COUNTIF(G$138:G$147,"A")</f>
        <v>0</v>
      </c>
      <c r="L151" s="1">
        <f>COUNTIF(G$138:G$147,I$118)</f>
        <v>0</v>
      </c>
      <c r="M151" s="1">
        <f>COUNTIF(G$138:G$147,J$118)</f>
        <v>0</v>
      </c>
      <c r="N151" s="1">
        <f>IF(A123&lt;&gt;"",500,0)</f>
        <v>0</v>
      </c>
      <c r="O151" s="39" t="str">
        <f>IF(A123&lt;&gt;"",UPPER(A123),"")</f>
        <v/>
      </c>
    </row>
    <row r="152" spans="1:54" hidden="1" outlineLevel="1">
      <c r="A152" s="21">
        <f>RANK(B152,B$150:B$154,1)</f>
        <v>3</v>
      </c>
      <c r="B152" s="48">
        <f>SUM(H152:J152)+ROW()/1000</f>
        <v>10110.152</v>
      </c>
      <c r="C152" s="22" t="str">
        <f>B124</f>
        <v>England</v>
      </c>
      <c r="D152" s="3">
        <f>SUM(J138:J147)</f>
        <v>0</v>
      </c>
      <c r="E152" s="3">
        <f>F152+G152</f>
        <v>0</v>
      </c>
      <c r="F152" s="22">
        <f>SUM(K138:K147)</f>
        <v>0</v>
      </c>
      <c r="G152" s="22">
        <f>SUM(L138:L147)</f>
        <v>0</v>
      </c>
      <c r="H152" s="59">
        <f>10000*RANK(D152,D$150:D$154)-N152</f>
        <v>10000</v>
      </c>
      <c r="I152" s="1">
        <f>100*RANK(E152,E$150:E$154)</f>
        <v>100</v>
      </c>
      <c r="J152" s="1">
        <f>10*RANK(F152,F$150:F$154)</f>
        <v>10</v>
      </c>
      <c r="K152" s="1">
        <f>4-COUNTIF(J$138:J$147,"A")</f>
        <v>0</v>
      </c>
      <c r="L152" s="1">
        <f>COUNTIF(J$138:J$147,I$118)</f>
        <v>0</v>
      </c>
      <c r="M152" s="1">
        <f>COUNTIF(J$138:J$147,J$118)</f>
        <v>0</v>
      </c>
      <c r="N152" s="1">
        <f>IF(A124&lt;&gt;"",500,0)</f>
        <v>0</v>
      </c>
      <c r="O152" s="39" t="str">
        <f>IF(A124&lt;&gt;"",UPPER(A124),"")</f>
        <v/>
      </c>
    </row>
    <row r="153" spans="1:54" hidden="1" outlineLevel="1">
      <c r="A153" s="21">
        <f>RANK(B153,B$150:B$154,1)</f>
        <v>4</v>
      </c>
      <c r="B153" s="48">
        <f>SUM(H153:J153)+ROW()/1000</f>
        <v>10110.153</v>
      </c>
      <c r="C153" s="22" t="str">
        <f>B125</f>
        <v>Italien</v>
      </c>
      <c r="D153" s="3">
        <f>SUM(M138:M147)</f>
        <v>0</v>
      </c>
      <c r="E153" s="3">
        <f>F153+G153</f>
        <v>0</v>
      </c>
      <c r="F153" s="22">
        <f>SUM(N138:N147)</f>
        <v>0</v>
      </c>
      <c r="G153" s="22">
        <f>SUM(O138:O147)</f>
        <v>0</v>
      </c>
      <c r="H153" s="59">
        <f>10000*RANK(D153,D$150:D$154)-N153</f>
        <v>10000</v>
      </c>
      <c r="I153" s="1">
        <f>100*RANK(E153,E$150:E$154)</f>
        <v>100</v>
      </c>
      <c r="J153" s="1">
        <f>10*RANK(F153,F$150:F$154)</f>
        <v>10</v>
      </c>
      <c r="K153" s="1">
        <f>4-COUNTIF(M$138:M$147,"A")</f>
        <v>0</v>
      </c>
      <c r="L153" s="1">
        <f>COUNTIF(M$138:M$147,I$118)</f>
        <v>0</v>
      </c>
      <c r="M153" s="1">
        <f>COUNTIF(M$138:M$147,J$118)</f>
        <v>0</v>
      </c>
      <c r="N153" s="1">
        <f>IF(A125&lt;&gt;"",500,0)</f>
        <v>0</v>
      </c>
      <c r="O153" s="39" t="str">
        <f>IF(A125&lt;&gt;"",UPPER(A125),"")</f>
        <v/>
      </c>
    </row>
    <row r="154" spans="1:54" hidden="1" outlineLevel="1">
      <c r="A154" s="21">
        <f>RANK(B154,B$150:B$154,1)</f>
        <v>5</v>
      </c>
      <c r="B154" s="48">
        <f>SUM(H154:J154)+ROW()/1000</f>
        <v>10510.154</v>
      </c>
      <c r="C154" s="22" t="str">
        <f>B131</f>
        <v>#######</v>
      </c>
      <c r="D154" s="3">
        <v>0</v>
      </c>
      <c r="E154" s="3">
        <f>F154+G154</f>
        <v>-100</v>
      </c>
      <c r="F154" s="22">
        <v>0</v>
      </c>
      <c r="G154" s="22">
        <v>-100</v>
      </c>
      <c r="H154" s="59">
        <f>10000*RANK(D154,D$150:D$154)-N154</f>
        <v>10000</v>
      </c>
      <c r="I154" s="1">
        <f>100*RANK(E154,E$150:E$154)</f>
        <v>500</v>
      </c>
      <c r="J154" s="1">
        <f>10*RANK(F154,F$150:F$154)</f>
        <v>10</v>
      </c>
      <c r="K154" s="1">
        <f>4-COUNTIF(P$138:P$147,"A")</f>
        <v>0</v>
      </c>
      <c r="L154" s="1">
        <f>COUNTIF(P$138:P$147,I$118)</f>
        <v>0</v>
      </c>
      <c r="M154" s="1">
        <f>COUNTIF(P$138:P$147,J$118)</f>
        <v>0</v>
      </c>
      <c r="N154" s="1">
        <f>IF(A126&lt;&gt;"",500,0)</f>
        <v>0</v>
      </c>
      <c r="O154" s="39" t="str">
        <f>IF(A126&lt;&gt;"",UPPER(A126),"")</f>
        <v/>
      </c>
    </row>
    <row r="155" spans="1:54" hidden="1" outlineLevel="1">
      <c r="B155" s="48"/>
    </row>
    <row r="156" spans="1:54" hidden="1" outlineLevel="1">
      <c r="B156" s="48"/>
      <c r="C156" s="14"/>
      <c r="D156" s="14"/>
      <c r="E156" s="14"/>
      <c r="F156" s="14"/>
      <c r="G156" s="14"/>
    </row>
    <row r="157" spans="1:54" ht="15" collapsed="1" thickBot="1">
      <c r="B157" s="48"/>
      <c r="C157" s="14"/>
      <c r="D157" s="14"/>
      <c r="E157" s="14"/>
      <c r="F157" s="14"/>
      <c r="G157" s="14"/>
      <c r="I157" s="45"/>
      <c r="J157" s="45"/>
    </row>
    <row r="158" spans="1:54" ht="14.25" customHeight="1">
      <c r="B158" s="47" t="s">
        <v>24</v>
      </c>
      <c r="C158" s="1">
        <v>1</v>
      </c>
      <c r="D158" s="46" t="str">
        <f>B160</f>
        <v>Schweiz</v>
      </c>
      <c r="E158" s="46" t="str">
        <f>B161</f>
        <v>Ecuador</v>
      </c>
      <c r="F158" s="69"/>
      <c r="G158" s="70"/>
      <c r="H158" s="246">
        <v>41805.75</v>
      </c>
      <c r="I158" s="1">
        <f>IF(F158="",0,IF(F158=G158,J$118,IF(F158&gt;G158,I$118,0)))</f>
        <v>0</v>
      </c>
      <c r="J158" s="1">
        <f>IF(G158="",0,IF(F158=G158,J$118,IF(F158&lt;G158,I$118,0)))</f>
        <v>0</v>
      </c>
      <c r="N158" s="7"/>
      <c r="O158" s="8"/>
      <c r="P158" s="9" t="s">
        <v>1</v>
      </c>
      <c r="Q158" s="9" t="s">
        <v>2</v>
      </c>
      <c r="R158" s="10" t="s">
        <v>3</v>
      </c>
      <c r="S158" s="11" t="s">
        <v>4</v>
      </c>
      <c r="T158" s="12" t="s">
        <v>5</v>
      </c>
      <c r="U158" s="10" t="s">
        <v>6</v>
      </c>
      <c r="V158" s="9" t="s">
        <v>7</v>
      </c>
      <c r="W158" s="13" t="s">
        <v>8</v>
      </c>
      <c r="Y158" s="14"/>
      <c r="Z158"/>
      <c r="AA158"/>
      <c r="AB158" s="15" t="s">
        <v>9</v>
      </c>
      <c r="AF158"/>
      <c r="AG158"/>
      <c r="AS158" s="7"/>
      <c r="AT158" s="8"/>
      <c r="AU158" s="9" t="s">
        <v>1</v>
      </c>
      <c r="AV158" s="9" t="s">
        <v>2</v>
      </c>
      <c r="AW158" s="10" t="s">
        <v>3</v>
      </c>
      <c r="AX158" s="11" t="s">
        <v>4</v>
      </c>
      <c r="AY158" s="12" t="s">
        <v>5</v>
      </c>
      <c r="AZ158" s="64" t="s">
        <v>6</v>
      </c>
      <c r="BA158" s="64" t="s">
        <v>7</v>
      </c>
      <c r="BB158" s="65" t="s">
        <v>8</v>
      </c>
    </row>
    <row r="159" spans="1:54" ht="15" customHeight="1">
      <c r="B159" s="48"/>
      <c r="C159" s="1">
        <v>2</v>
      </c>
      <c r="D159" s="46" t="str">
        <f>B162</f>
        <v>Frankreich</v>
      </c>
      <c r="E159" s="46" t="str">
        <f>B163</f>
        <v>Honduras</v>
      </c>
      <c r="F159" s="69"/>
      <c r="G159" s="70"/>
      <c r="H159" s="246">
        <v>41805.875</v>
      </c>
      <c r="I159" s="1">
        <f>IF(F159="",0,IF(F159=G159,J$118,IF(F159&gt;G159,I$118,0)))</f>
        <v>0</v>
      </c>
      <c r="J159" s="1">
        <f>IF(G159="",0,IF(F159=G159,J$118,IF(F159&lt;G159,I$118,0)))</f>
        <v>0</v>
      </c>
      <c r="N159" s="16"/>
      <c r="O159" s="17"/>
      <c r="P159" s="14"/>
      <c r="Q159" s="17"/>
      <c r="R159" s="18"/>
      <c r="S159" s="18"/>
      <c r="T159" s="19"/>
      <c r="W159" s="20"/>
      <c r="Y159" s="14"/>
      <c r="Z159"/>
      <c r="AA159"/>
      <c r="AF159"/>
      <c r="AG159"/>
      <c r="AH159" s="21" t="s">
        <v>10</v>
      </c>
      <c r="AN159" s="21" t="s">
        <v>11</v>
      </c>
      <c r="AS159" s="16"/>
      <c r="AT159" s="17"/>
      <c r="AU159" s="14"/>
      <c r="AV159" s="17"/>
      <c r="AW159" s="18"/>
      <c r="AX159" s="18"/>
      <c r="AY159" s="19"/>
      <c r="BB159" s="66"/>
    </row>
    <row r="160" spans="1:54" ht="15">
      <c r="A160" s="71"/>
      <c r="B160" s="72" t="s">
        <v>49</v>
      </c>
      <c r="C160" s="1">
        <v>3</v>
      </c>
      <c r="D160" s="46" t="str">
        <f>B160</f>
        <v>Schweiz</v>
      </c>
      <c r="E160" s="46" t="str">
        <f>B162</f>
        <v>Frankreich</v>
      </c>
      <c r="F160" s="69"/>
      <c r="G160" s="70"/>
      <c r="H160" s="246">
        <v>41810.875</v>
      </c>
      <c r="I160" s="1">
        <f>IF(F169="",0,IF(F169=G169,J$118,IF(F169&gt;G169,I$118,0)))</f>
        <v>0</v>
      </c>
      <c r="J160" s="1">
        <f>IF(G169="",0,IF(F169=G169,J$118,IF(F169&lt;G169,I$118,0)))</f>
        <v>0</v>
      </c>
      <c r="K160" s="1">
        <v>1</v>
      </c>
      <c r="L160" s="1">
        <f>IF(OR(Q$160+Q$161+Q$162=3*Q$160,Q$163+Q$161+Q$162=3*Q$163,AE160+AK160+AQ160=0),K160,AE160+AK160+AQ160)</f>
        <v>1</v>
      </c>
      <c r="M160" s="22">
        <f>INT(VLOOKUP($K160,$A$188:$G$192,2,0))</f>
        <v>10110</v>
      </c>
      <c r="N160" s="23">
        <f>1</f>
        <v>1</v>
      </c>
      <c r="O160" s="24" t="str">
        <f>VLOOKUP($K160,$A$188:$G$192,3,0)</f>
        <v>Schweiz</v>
      </c>
      <c r="P160" s="22">
        <f>VLOOKUP($K160,$A$188:$K$192,11,0)</f>
        <v>0</v>
      </c>
      <c r="Q160" s="25">
        <f>VLOOKUP($K160,$A$188:$G$192,4,0)</f>
        <v>0</v>
      </c>
      <c r="R160" s="18">
        <f>VLOOKUP($K160,$A$188:$G$192,5,0)</f>
        <v>0</v>
      </c>
      <c r="S160" s="18">
        <f>VLOOKUP($K160,$A$188:$G$192,6,0)</f>
        <v>0</v>
      </c>
      <c r="T160" s="19">
        <f>VLOOKUP($K160,$A$188:$G$192,7,0)</f>
        <v>0</v>
      </c>
      <c r="U160" s="14">
        <f>VLOOKUP($K160,$A$188:$M$192,12,0)</f>
        <v>0</v>
      </c>
      <c r="V160" s="1">
        <f>VLOOKUP($K160,$A$188:$M$192,13,0)</f>
        <v>0</v>
      </c>
      <c r="W160" s="20">
        <f>P160-U160-V160</f>
        <v>0</v>
      </c>
      <c r="X160" s="25" t="str">
        <f>VLOOKUP($K160,$A$188:$G$192,4,0)&amp;" "&amp;VLOOKUP($K160,$A$188:$P$192,15,0)</f>
        <v xml:space="preserve">0 </v>
      </c>
      <c r="Y160" s="1">
        <f>INT(VLOOKUP($K160,$A$188:$H$192,8,0))</f>
        <v>10000</v>
      </c>
      <c r="Z160" s="1">
        <f>IF(AND(Y$160=Y$161,OR(AND(D158=O$160,E158=O$161),AND(D158=O$161,E158=O$160))),1,0)</f>
        <v>1</v>
      </c>
      <c r="AA160" s="1" t="str">
        <f t="shared" ref="AA160:AA165" si="48">VLOOKUP($Z160,$C$158:$G$163,2,0)</f>
        <v>Schweiz</v>
      </c>
      <c r="AB160" s="1" t="str">
        <f t="shared" ref="AB160:AB165" si="49">VLOOKUP($Z160,$C$158:$G$163,3,0)</f>
        <v>Ecuador</v>
      </c>
      <c r="AC160" s="1">
        <f t="shared" ref="AC160:AC165" si="50">VLOOKUP($Z160,$C$158:$G$163,4,0)</f>
        <v>0</v>
      </c>
      <c r="AD160" s="1">
        <f t="shared" ref="AD160:AD165" si="51">VLOOKUP($Z160,$C$158:$G$163,5,0)</f>
        <v>0</v>
      </c>
      <c r="AE160" s="1">
        <f>IF(ISERROR(AC167),0,IF(AC167=0,0,IF(OR(AND(AA167=O160,AC167&gt;0),AND(AB167=O160,AC167&lt;0)),1,2)))</f>
        <v>0</v>
      </c>
      <c r="AF160" s="1">
        <f>IF(AND($Y$161=$Y$162,OR(AND($D158=$O$161,$E158=$O$162),AND($D158=$O$162,$E158=$O$161))),1,0)</f>
        <v>0</v>
      </c>
      <c r="AG160" s="1" t="e">
        <f t="shared" ref="AG160:AG165" si="52">VLOOKUP($AF160,$C$158:$G$163,2,0)</f>
        <v>#N/A</v>
      </c>
      <c r="AH160" s="1" t="e">
        <f t="shared" ref="AH160:AH165" si="53">VLOOKUP($AF160,$C$158:$G$163,3,0)</f>
        <v>#N/A</v>
      </c>
      <c r="AI160" s="1" t="e">
        <f t="shared" ref="AI160:AI165" si="54">VLOOKUP($AF160,$C$158:$G$163,4,0)</f>
        <v>#N/A</v>
      </c>
      <c r="AJ160" s="1" t="e">
        <f t="shared" ref="AJ160:AJ165" si="55">VLOOKUP($AF160,$C$158:$G$163,5,0)</f>
        <v>#N/A</v>
      </c>
      <c r="AK160"/>
      <c r="AL160" s="1">
        <f>IF(AND($Y$162=$Y$163,OR(AND($D158=$O$162,$E158=$O$163),AND($D158=$O$163,$E158=$O$162))),1,0)</f>
        <v>0</v>
      </c>
      <c r="AM160" s="1" t="e">
        <f t="shared" ref="AM160:AM165" si="56">VLOOKUP($AL160,$C$158:$G$163,2,0)</f>
        <v>#N/A</v>
      </c>
      <c r="AN160" s="1" t="e">
        <f t="shared" ref="AN160:AN165" si="57">VLOOKUP($AL160,$C$158:$G$163,3,0)</f>
        <v>#N/A</v>
      </c>
      <c r="AO160" s="1" t="e">
        <f t="shared" ref="AO160:AO165" si="58">VLOOKUP($AL160,$C$158:$G$163,4,0)</f>
        <v>#N/A</v>
      </c>
      <c r="AP160" s="1" t="e">
        <f t="shared" ref="AP160:AP165" si="59">VLOOKUP($AL160,$C$158:$G$163,5,0)</f>
        <v>#N/A</v>
      </c>
      <c r="AS160" s="23">
        <v>1</v>
      </c>
      <c r="AT160" s="24" t="str">
        <f>VLOOKUP($K160,$L$160:$W$163,4,0)</f>
        <v>Schweiz</v>
      </c>
      <c r="AU160" s="22">
        <f>VLOOKUP($K160,$L$160:$W$163,5,0)</f>
        <v>0</v>
      </c>
      <c r="AV160" s="25" t="str">
        <f>VLOOKUP($K160,$L$160:$X$163,13,0)</f>
        <v xml:space="preserve">0 </v>
      </c>
      <c r="AW160" s="18">
        <f>VLOOKUP($K160,$L$160:$W$163,7,0)</f>
        <v>0</v>
      </c>
      <c r="AX160" s="18">
        <f>VLOOKUP($K160,$L$160:$W$163,8,0)</f>
        <v>0</v>
      </c>
      <c r="AY160" s="19">
        <f>VLOOKUP($K160,$L$160:$W$163,9,0)</f>
        <v>0</v>
      </c>
      <c r="AZ160" s="51">
        <f>VLOOKUP($K160,$L$160:$W$163,10,0)</f>
        <v>0</v>
      </c>
      <c r="BA160" s="22">
        <f>VLOOKUP($K160,$L$160:$W$163,11,0)</f>
        <v>0</v>
      </c>
      <c r="BB160" s="66">
        <f>VLOOKUP($K160,$L$160:$W$163,12,0)</f>
        <v>0</v>
      </c>
    </row>
    <row r="161" spans="1:54" ht="15">
      <c r="A161" s="71"/>
      <c r="B161" s="72" t="s">
        <v>32</v>
      </c>
      <c r="C161" s="1">
        <v>4</v>
      </c>
      <c r="D161" s="46" t="str">
        <f>B161</f>
        <v>Ecuador</v>
      </c>
      <c r="E161" s="46" t="str">
        <f>B163</f>
        <v>Honduras</v>
      </c>
      <c r="F161" s="69"/>
      <c r="G161" s="70"/>
      <c r="H161" s="245">
        <v>41810</v>
      </c>
      <c r="I161" s="1">
        <f>IF(F160="",0,IF(F160=G160,J$118,IF(F160&gt;G160,I$118,0)))</f>
        <v>0</v>
      </c>
      <c r="J161" s="1">
        <f>IF(G160="",0,IF(F160=G160,J$118,IF(F160&lt;G160,I$118,0)))</f>
        <v>0</v>
      </c>
      <c r="K161" s="1">
        <v>2</v>
      </c>
      <c r="L161" s="1">
        <f>IF(OR(Q$160+Q$161+Q$162=3*Q$160,Q$163+Q$161+Q$162=3*Q$163,AE161+AK161+AQ161=0),K161,AE161+AK161+AQ161)</f>
        <v>2</v>
      </c>
      <c r="M161" s="22">
        <f>INT(VLOOKUP($K161,$A$188:$G$192,2,0))</f>
        <v>10110</v>
      </c>
      <c r="N161" s="23" t="str">
        <f>IF(M161=M160,"",K161)</f>
        <v/>
      </c>
      <c r="O161" s="24" t="str">
        <f>VLOOKUP($K161,$A$188:$G$192,3,0)</f>
        <v>Ecuador</v>
      </c>
      <c r="P161" s="22">
        <f>VLOOKUP($K161,$A$188:$K$192,11,0)</f>
        <v>0</v>
      </c>
      <c r="Q161" s="25">
        <f>VLOOKUP($K161,$A$188:$G$192,4,0)</f>
        <v>0</v>
      </c>
      <c r="R161" s="18">
        <f>VLOOKUP($K161,$A$188:$G$192,5,0)</f>
        <v>0</v>
      </c>
      <c r="S161" s="18">
        <f>VLOOKUP($K161,$A$188:$G$192,6,0)</f>
        <v>0</v>
      </c>
      <c r="T161" s="19">
        <f>VLOOKUP($K161,$A$188:$G$192,7,0)</f>
        <v>0</v>
      </c>
      <c r="U161" s="14">
        <f>VLOOKUP($K161,$A$188:$M$192,12,0)</f>
        <v>0</v>
      </c>
      <c r="V161" s="1">
        <f>VLOOKUP($K161,$A$188:$M$192,13,0)</f>
        <v>0</v>
      </c>
      <c r="W161" s="20">
        <f>P161-U161-V161</f>
        <v>0</v>
      </c>
      <c r="X161" s="25" t="str">
        <f>VLOOKUP($K161,$A$188:$G$192,4,0)&amp;" "&amp;VLOOKUP($K161,$A$188:$P$192,15,0)</f>
        <v xml:space="preserve">0 </v>
      </c>
      <c r="Y161" s="1">
        <f>INT(VLOOKUP($K161,$A$188:$H$192,8,0))</f>
        <v>10000</v>
      </c>
      <c r="Z161" s="1">
        <f>IF(AND(Y$160=Y$161,OR(AND(D159=O$160,E159=O$161),AND(D159=O$161,E159=O$160))),2,0)</f>
        <v>0</v>
      </c>
      <c r="AA161" s="1" t="e">
        <f t="shared" si="48"/>
        <v>#N/A</v>
      </c>
      <c r="AB161" s="1" t="e">
        <f t="shared" si="49"/>
        <v>#N/A</v>
      </c>
      <c r="AC161" s="1" t="e">
        <f t="shared" si="50"/>
        <v>#N/A</v>
      </c>
      <c r="AD161" s="1" t="e">
        <f t="shared" si="51"/>
        <v>#N/A</v>
      </c>
      <c r="AE161" s="1">
        <f>IF(AE160=2,1,IF(AE160=1,2,0))</f>
        <v>0</v>
      </c>
      <c r="AF161" s="1">
        <f>IF(AND(Y$161=Y$162,OR(AND(D159=O$161,E159=O$162),AND(D159=O$162,E159=O$161))),2,0)</f>
        <v>0</v>
      </c>
      <c r="AG161" s="1" t="e">
        <f t="shared" si="52"/>
        <v>#N/A</v>
      </c>
      <c r="AH161" s="1" t="e">
        <f t="shared" si="53"/>
        <v>#N/A</v>
      </c>
      <c r="AI161" s="1" t="e">
        <f t="shared" si="54"/>
        <v>#N/A</v>
      </c>
      <c r="AJ161" s="1" t="e">
        <f t="shared" si="55"/>
        <v>#N/A</v>
      </c>
      <c r="AK161" s="1">
        <f>IF(ISERROR(AI167),0,IF(AI167=0,0,IF(OR(AND(AG167=O161,AI167&gt;0),AND(AH167=O161,AI167&lt;0)),2,3)))</f>
        <v>0</v>
      </c>
      <c r="AL161" s="1">
        <f>IF(AND($Y$162=$Y$163,OR(AND($D159=$O$162,$E159=$O$163),AND($D159=$O$163,$E159=$O$162))),2,0)</f>
        <v>2</v>
      </c>
      <c r="AM161" s="1" t="str">
        <f t="shared" si="56"/>
        <v>Frankreich</v>
      </c>
      <c r="AN161" s="1" t="str">
        <f t="shared" si="57"/>
        <v>Honduras</v>
      </c>
      <c r="AO161" s="1">
        <f t="shared" si="58"/>
        <v>0</v>
      </c>
      <c r="AP161" s="1">
        <f t="shared" si="59"/>
        <v>0</v>
      </c>
      <c r="AQ161"/>
      <c r="AR161"/>
      <c r="AS161" s="23" t="str">
        <f>IF(AND(OR(AR167=1,AE161+AK161+AQ161=0),M161=M160),"",2)</f>
        <v/>
      </c>
      <c r="AT161" s="24" t="str">
        <f>VLOOKUP($K161,$L$160:$W$163,4,0)</f>
        <v>Ecuador</v>
      </c>
      <c r="AU161" s="22">
        <f>VLOOKUP($K161,$L$160:$W$163,5,0)</f>
        <v>0</v>
      </c>
      <c r="AV161" s="25" t="str">
        <f>VLOOKUP($K161,$L$160:$X$163,13,0)</f>
        <v xml:space="preserve">0 </v>
      </c>
      <c r="AW161" s="18">
        <f>VLOOKUP($K161,$L$160:$W$163,7,0)</f>
        <v>0</v>
      </c>
      <c r="AX161" s="18">
        <f>VLOOKUP($K161,$L$160:$W$163,8,0)</f>
        <v>0</v>
      </c>
      <c r="AY161" s="19">
        <f>VLOOKUP($K161,$L$160:$W$163,9,0)</f>
        <v>0</v>
      </c>
      <c r="AZ161" s="51">
        <f>VLOOKUP($K161,$L$160:$W$163,10,0)</f>
        <v>0</v>
      </c>
      <c r="BA161" s="22">
        <f>VLOOKUP($K161,$L$160:$W$163,11,0)</f>
        <v>0</v>
      </c>
      <c r="BB161" s="66">
        <f>VLOOKUP($K161,$L$160:$W$163,12,0)</f>
        <v>0</v>
      </c>
    </row>
    <row r="162" spans="1:54" ht="15">
      <c r="A162" s="71"/>
      <c r="B162" s="72" t="s">
        <v>48</v>
      </c>
      <c r="C162" s="1">
        <v>5</v>
      </c>
      <c r="D162" s="46" t="str">
        <f>B160</f>
        <v>Schweiz</v>
      </c>
      <c r="E162" s="46" t="str">
        <f>B163</f>
        <v>Honduras</v>
      </c>
      <c r="F162" s="69"/>
      <c r="G162" s="70"/>
      <c r="H162" s="246">
        <v>41815.916666666664</v>
      </c>
      <c r="I162" s="1">
        <f>IF(F170="",0,IF(F170=G170,J$118,IF(F170&gt;G170,I$118,0)))</f>
        <v>0</v>
      </c>
      <c r="J162" s="1">
        <f>IF(G170="",0,IF(F170=G170,J$118,IF(F170&lt;G170,I$118,0)))</f>
        <v>0</v>
      </c>
      <c r="K162" s="1">
        <v>3</v>
      </c>
      <c r="L162" s="1">
        <f>IF(OR(Q$160+Q$161+Q$162=3*Q$160,Q$163+Q$161+Q$162=3*Q$163,AE162+AK162+AQ162=0),K162,AE162+AK162+AQ162)</f>
        <v>3</v>
      </c>
      <c r="M162" s="22">
        <f>INT(VLOOKUP($K162,$A$188:$G$192,2,0))</f>
        <v>10110</v>
      </c>
      <c r="N162" s="23" t="str">
        <f>IF(M162=M161,"",K162)</f>
        <v/>
      </c>
      <c r="O162" s="24" t="str">
        <f>VLOOKUP($K162,$A$188:$G$192,3,0)</f>
        <v>Frankreich</v>
      </c>
      <c r="P162" s="22">
        <f>VLOOKUP($K162,$A$188:$K$192,11,0)</f>
        <v>0</v>
      </c>
      <c r="Q162" s="25">
        <f>VLOOKUP($K162,$A$188:$G$192,4,0)</f>
        <v>0</v>
      </c>
      <c r="R162" s="18">
        <f>VLOOKUP($K162,$A$188:$G$192,5,0)</f>
        <v>0</v>
      </c>
      <c r="S162" s="18">
        <f>VLOOKUP($K162,$A$188:$G$192,6,0)</f>
        <v>0</v>
      </c>
      <c r="T162" s="19">
        <f>VLOOKUP($K162,$A$188:$G$192,7,0)</f>
        <v>0</v>
      </c>
      <c r="U162" s="14">
        <f>VLOOKUP($K162,$A$188:$M$192,12,0)</f>
        <v>0</v>
      </c>
      <c r="V162" s="1">
        <f>VLOOKUP($K162,$A$188:$M$192,13,0)</f>
        <v>0</v>
      </c>
      <c r="W162" s="20">
        <f>P162-U162-V162</f>
        <v>0</v>
      </c>
      <c r="X162" s="25" t="str">
        <f>VLOOKUP($K162,$A$188:$G$192,4,0)&amp;" "&amp;VLOOKUP($K162,$A$188:$P$192,15,0)</f>
        <v xml:space="preserve">0 </v>
      </c>
      <c r="Y162" s="1">
        <f>INT(VLOOKUP($K162,$A$188:$H$192,8,0))</f>
        <v>10000</v>
      </c>
      <c r="Z162" s="1">
        <f>IF(AND(Y$160=Y$161,OR(AND(D160=O$160,E160=O$161),AND(D160=O$161,E160=O$160))),3,0)</f>
        <v>0</v>
      </c>
      <c r="AA162" s="1" t="e">
        <f t="shared" si="48"/>
        <v>#N/A</v>
      </c>
      <c r="AB162" s="1" t="e">
        <f t="shared" si="49"/>
        <v>#N/A</v>
      </c>
      <c r="AC162" s="1" t="e">
        <f t="shared" si="50"/>
        <v>#N/A</v>
      </c>
      <c r="AD162" s="1" t="e">
        <f t="shared" si="51"/>
        <v>#N/A</v>
      </c>
      <c r="AF162" s="1">
        <f>IF(AND(Y$161=Y$162,OR(AND(D160=O$161,E160=O$162),AND(D160=O$162,E160=O$161))),3,0)</f>
        <v>0</v>
      </c>
      <c r="AG162" s="1" t="e">
        <f t="shared" si="52"/>
        <v>#N/A</v>
      </c>
      <c r="AH162" s="1" t="e">
        <f t="shared" si="53"/>
        <v>#N/A</v>
      </c>
      <c r="AI162" s="1" t="e">
        <f t="shared" si="54"/>
        <v>#N/A</v>
      </c>
      <c r="AJ162" s="1" t="e">
        <f t="shared" si="55"/>
        <v>#N/A</v>
      </c>
      <c r="AK162" s="1">
        <f>IF(AK161=3,2,IF(AK161=2,3,0))</f>
        <v>0</v>
      </c>
      <c r="AL162" s="1">
        <f>IF(AND($Y$162=$Y$163,OR(AND($D160=$O$162,$E160=$O$163),AND($D160=$O$163,$E160=$O$162))),3,0)</f>
        <v>0</v>
      </c>
      <c r="AM162" s="1" t="e">
        <f t="shared" si="56"/>
        <v>#N/A</v>
      </c>
      <c r="AN162" s="1" t="e">
        <f t="shared" si="57"/>
        <v>#N/A</v>
      </c>
      <c r="AO162" s="1" t="e">
        <f t="shared" si="58"/>
        <v>#N/A</v>
      </c>
      <c r="AP162" s="1" t="e">
        <f t="shared" si="59"/>
        <v>#N/A</v>
      </c>
      <c r="AQ162" s="1">
        <f>IF(ISERROR(AO167),0,IF(AO167=0,0,IF(OR(AND(AM167=O162,AO167&gt;0),AND(AN167=O162,AO167&lt;0)),3,4)))</f>
        <v>0</v>
      </c>
      <c r="AS162" s="23" t="str">
        <f>IF(AND(OR(AR168=1,AE162+AK162+AQ162=0),M162=M161),"",3)</f>
        <v/>
      </c>
      <c r="AT162" s="24" t="str">
        <f>VLOOKUP($K162,$L$160:$W$163,4,0)</f>
        <v>Frankreich</v>
      </c>
      <c r="AU162" s="22">
        <f>VLOOKUP($K162,$L$160:$W$163,5,0)</f>
        <v>0</v>
      </c>
      <c r="AV162" s="25" t="str">
        <f>VLOOKUP($K162,$L$160:$X$163,13,0)</f>
        <v xml:space="preserve">0 </v>
      </c>
      <c r="AW162" s="18">
        <f>VLOOKUP($K162,$L$160:$W$163,7,0)</f>
        <v>0</v>
      </c>
      <c r="AX162" s="18">
        <f>VLOOKUP($K162,$L$160:$W$163,8,0)</f>
        <v>0</v>
      </c>
      <c r="AY162" s="19">
        <f>VLOOKUP($K162,$L$160:$W$163,9,0)</f>
        <v>0</v>
      </c>
      <c r="AZ162" s="51">
        <f>VLOOKUP($K162,$L$160:$W$163,10,0)</f>
        <v>0</v>
      </c>
      <c r="BA162" s="22">
        <f>VLOOKUP($K162,$L$160:$W$163,11,0)</f>
        <v>0</v>
      </c>
      <c r="BB162" s="66">
        <f>VLOOKUP($K162,$L$160:$W$163,12,0)</f>
        <v>0</v>
      </c>
    </row>
    <row r="163" spans="1:54" ht="15.75" thickBot="1">
      <c r="A163" s="71"/>
      <c r="B163" s="72" t="s">
        <v>68</v>
      </c>
      <c r="C163" s="1">
        <v>6</v>
      </c>
      <c r="D163" s="46" t="str">
        <f>B161</f>
        <v>Ecuador</v>
      </c>
      <c r="E163" s="46" t="str">
        <f>B162</f>
        <v>Frankreich</v>
      </c>
      <c r="F163" s="69"/>
      <c r="G163" s="70"/>
      <c r="H163" s="246">
        <v>41815.916666666664</v>
      </c>
      <c r="I163" s="1">
        <f>IF(F161="",0,IF(F161=G161,J$118,IF(F161&gt;G161,I$118,0)))</f>
        <v>0</v>
      </c>
      <c r="J163" s="1">
        <f>IF(G161="",0,IF(F161=G161,J$118,IF(F161&lt;G161,I$118,0)))</f>
        <v>0</v>
      </c>
      <c r="K163" s="1">
        <v>4</v>
      </c>
      <c r="L163" s="1">
        <f>IF(OR(Q$160+Q$161+Q$162=3*Q$160,Q$163+Q$161+Q$162=3*Q$163,AE163+AK163+AQ163=0),K163,AE163+AK163+AQ163)</f>
        <v>4</v>
      </c>
      <c r="M163" s="22">
        <f>INT(VLOOKUP($K163,$A$188:$G$192,2,0))</f>
        <v>10110</v>
      </c>
      <c r="N163" s="26" t="str">
        <f>IF(M163=M162,"",K163)</f>
        <v/>
      </c>
      <c r="O163" s="27" t="str">
        <f>VLOOKUP($K163,$A$188:$G$192,3,0)</f>
        <v>Honduras</v>
      </c>
      <c r="P163" s="28">
        <f>VLOOKUP($K163,$A$188:$K$192,11,0)</f>
        <v>0</v>
      </c>
      <c r="Q163" s="25">
        <f>VLOOKUP($K163,$A$188:$G$192,4,0)</f>
        <v>0</v>
      </c>
      <c r="R163" s="30">
        <f>VLOOKUP($K163,$A$188:$G$192,5,0)</f>
        <v>0</v>
      </c>
      <c r="S163" s="30">
        <f>VLOOKUP($K163,$A$188:$G$192,6,0)</f>
        <v>0</v>
      </c>
      <c r="T163" s="31">
        <f>VLOOKUP($K163,$A$188:$G$192,7,0)</f>
        <v>0</v>
      </c>
      <c r="U163" s="32">
        <f>VLOOKUP($K163,$A$188:$M$192,12,0)</f>
        <v>0</v>
      </c>
      <c r="V163" s="33">
        <f>VLOOKUP($K163,$A$188:$M$192,13,0)</f>
        <v>0</v>
      </c>
      <c r="W163" s="34">
        <f>P163-U163-V163</f>
        <v>0</v>
      </c>
      <c r="X163" s="25" t="str">
        <f>VLOOKUP($K163,$A$188:$G$192,4,0)&amp;" "&amp;VLOOKUP($K163,$A$188:$P$192,15,0)</f>
        <v xml:space="preserve">0 </v>
      </c>
      <c r="Y163" s="1">
        <f>INT(VLOOKUP($K163,$A$188:$H$192,8,0))</f>
        <v>10000</v>
      </c>
      <c r="Z163" s="1">
        <f>IF(AND(Y$160=Y$161,OR(AND(D161=O$160,E161=O$161),AND(D161=O$161,E161=O$160))),4,0)</f>
        <v>0</v>
      </c>
      <c r="AA163" s="1" t="e">
        <f t="shared" si="48"/>
        <v>#N/A</v>
      </c>
      <c r="AB163" s="1" t="e">
        <f t="shared" si="49"/>
        <v>#N/A</v>
      </c>
      <c r="AC163" s="1" t="e">
        <f t="shared" si="50"/>
        <v>#N/A</v>
      </c>
      <c r="AD163" s="1" t="e">
        <f t="shared" si="51"/>
        <v>#N/A</v>
      </c>
      <c r="AF163" s="1">
        <f>IF(AND(Y$161=Y$162,OR(AND(D161=O$161,E161=O$162),AND(D161=O$162,E161=O$161))),4,0)</f>
        <v>0</v>
      </c>
      <c r="AG163" s="1" t="e">
        <f t="shared" si="52"/>
        <v>#N/A</v>
      </c>
      <c r="AH163" s="1" t="e">
        <f t="shared" si="53"/>
        <v>#N/A</v>
      </c>
      <c r="AI163" s="1" t="e">
        <f t="shared" si="54"/>
        <v>#N/A</v>
      </c>
      <c r="AJ163" s="1" t="e">
        <f t="shared" si="55"/>
        <v>#N/A</v>
      </c>
      <c r="AL163" s="1">
        <f>IF(AND($Y$162=$Y$163,OR(AND($D161=$O$162,$E161=$O$163),AND($D161=$O$163,$E161=$O$162))),4,0)</f>
        <v>0</v>
      </c>
      <c r="AM163" s="1" t="e">
        <f t="shared" si="56"/>
        <v>#N/A</v>
      </c>
      <c r="AN163" s="1" t="e">
        <f t="shared" si="57"/>
        <v>#N/A</v>
      </c>
      <c r="AO163" s="1" t="e">
        <f t="shared" si="58"/>
        <v>#N/A</v>
      </c>
      <c r="AP163" s="1" t="e">
        <f t="shared" si="59"/>
        <v>#N/A</v>
      </c>
      <c r="AQ163" s="1">
        <f>IF(AQ162=4,3,IF(AQ162=3,4,0))</f>
        <v>0</v>
      </c>
      <c r="AS163" s="26" t="str">
        <f>IF(AND(OR(AR169=1,AE163+AK163+AQ163=0),M163=M162),"",4)</f>
        <v/>
      </c>
      <c r="AT163" s="27" t="str">
        <f>VLOOKUP($K163,$L$160:$W$163,4,0)</f>
        <v>Honduras</v>
      </c>
      <c r="AU163" s="35">
        <f>VLOOKUP($K163,$L$160:$W$163,5,0)</f>
        <v>0</v>
      </c>
      <c r="AV163" s="29" t="str">
        <f>VLOOKUP($K163,$L$160:$X$163,13,0)</f>
        <v xml:space="preserve">0 </v>
      </c>
      <c r="AW163" s="30">
        <f>VLOOKUP($K163,$L$160:$W$163,7,0)</f>
        <v>0</v>
      </c>
      <c r="AX163" s="30">
        <f>VLOOKUP($K163,$L$160:$W$163,8,0)</f>
        <v>0</v>
      </c>
      <c r="AY163" s="31">
        <f>VLOOKUP($K163,$L$160:$W$163,9,0)</f>
        <v>0</v>
      </c>
      <c r="AZ163" s="67">
        <f>VLOOKUP($K163,$L$160:$W$163,10,0)</f>
        <v>0</v>
      </c>
      <c r="BA163" s="35">
        <f>VLOOKUP($K163,$L$160:$W$163,11,0)</f>
        <v>0</v>
      </c>
      <c r="BB163" s="68">
        <f>VLOOKUP($K163,$L$160:$W$163,12,0)</f>
        <v>0</v>
      </c>
    </row>
    <row r="164" spans="1:54" ht="15" hidden="1" outlineLevel="1">
      <c r="B164" s="48"/>
      <c r="D164" s="14"/>
      <c r="E164" s="14"/>
      <c r="F164" s="14"/>
      <c r="G164" s="14"/>
      <c r="I164" s="1">
        <f>IF(F162="",0,IF(F162=G162,J$118,IF(F162&gt;G162,I$118,0)))</f>
        <v>0</v>
      </c>
      <c r="J164" s="1">
        <f>IF(G162="",0,IF(F162=G162,J$118,IF(F162&lt;G162,I$118,0)))</f>
        <v>0</v>
      </c>
      <c r="K164" s="1">
        <v>5</v>
      </c>
      <c r="M164" s="22">
        <f>INT(VLOOKUP($K164,$A$188:$G$192,2,0))</f>
        <v>10510</v>
      </c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Z164" s="1">
        <f>IF(AND(Y$160=Y$161,OR(AND(D162=O$160,E162=O$161),AND(D162=O$161,E162=O$160))),5,0)</f>
        <v>0</v>
      </c>
      <c r="AA164" s="1" t="e">
        <f t="shared" si="48"/>
        <v>#N/A</v>
      </c>
      <c r="AB164" s="1" t="e">
        <f t="shared" si="49"/>
        <v>#N/A</v>
      </c>
      <c r="AC164" s="1" t="e">
        <f t="shared" si="50"/>
        <v>#N/A</v>
      </c>
      <c r="AD164" s="1" t="e">
        <f t="shared" si="51"/>
        <v>#N/A</v>
      </c>
      <c r="AF164" s="1">
        <f>IF(AND(Y$161=Y$162,OR(AND(D162=O$161,E162=O$162),AND(D162=O$162,E162=O$161))),5,0)</f>
        <v>0</v>
      </c>
      <c r="AG164" s="1" t="e">
        <f t="shared" si="52"/>
        <v>#N/A</v>
      </c>
      <c r="AH164" s="1" t="e">
        <f t="shared" si="53"/>
        <v>#N/A</v>
      </c>
      <c r="AI164" s="1" t="e">
        <f t="shared" si="54"/>
        <v>#N/A</v>
      </c>
      <c r="AJ164" s="1" t="e">
        <f t="shared" si="55"/>
        <v>#N/A</v>
      </c>
      <c r="AL164" s="1">
        <f>IF(AND($Y$162=$Y$163,OR(AND($D162=$O$162,$E162=$O$163),AND($D162=$O$163,$E162=$O$162))),5,0)</f>
        <v>0</v>
      </c>
      <c r="AM164" s="1" t="e">
        <f t="shared" si="56"/>
        <v>#N/A</v>
      </c>
      <c r="AN164" s="1" t="e">
        <f t="shared" si="57"/>
        <v>#N/A</v>
      </c>
      <c r="AO164" s="1" t="e">
        <f t="shared" si="58"/>
        <v>#N/A</v>
      </c>
      <c r="AP164" s="1" t="e">
        <f t="shared" si="59"/>
        <v>#N/A</v>
      </c>
      <c r="AS164" s="40" t="str">
        <f>IF(AND(P165=12,SUM(AS160:AS162)&lt;&gt;6),"UEFA / Fairplay / Los !","")</f>
        <v/>
      </c>
      <c r="AT164" s="24"/>
      <c r="AU164" s="22"/>
      <c r="AV164" s="25"/>
      <c r="AW164" s="18"/>
    </row>
    <row r="165" spans="1:54" hidden="1" outlineLevel="1">
      <c r="B165" s="48"/>
      <c r="D165" s="14"/>
      <c r="E165" s="14"/>
      <c r="F165" s="14"/>
      <c r="G165" s="14"/>
      <c r="I165" s="1">
        <f>IF(F171="",0,IF(F171=G171,J$118,IF(F171&gt;G171,I$118,0)))</f>
        <v>0</v>
      </c>
      <c r="J165" s="1">
        <f>IF(G171="",0,IF(F171=G171,J$118,IF(F171&lt;G171,I$118,0)))</f>
        <v>0</v>
      </c>
      <c r="P165" s="1">
        <f>SUM(P160:P164)</f>
        <v>0</v>
      </c>
      <c r="Z165" s="1">
        <f>IF(AND(Y$160=Y$161,OR(AND(D163=O$160,E163=O$161),AND(D163=O$161,E163=O$160))),6,0)</f>
        <v>0</v>
      </c>
      <c r="AA165" s="1" t="e">
        <f t="shared" si="48"/>
        <v>#N/A</v>
      </c>
      <c r="AB165" s="1" t="e">
        <f t="shared" si="49"/>
        <v>#N/A</v>
      </c>
      <c r="AC165" s="1" t="e">
        <f t="shared" si="50"/>
        <v>#N/A</v>
      </c>
      <c r="AD165" s="1" t="e">
        <f t="shared" si="51"/>
        <v>#N/A</v>
      </c>
      <c r="AF165" s="1">
        <f>IF(AND(Y$161=Y$162,OR(AND(D163=O$161,E163=O$162),AND(D163=O$162,E163=O$161))),6,0)</f>
        <v>6</v>
      </c>
      <c r="AG165" s="1" t="str">
        <f t="shared" si="52"/>
        <v>Ecuador</v>
      </c>
      <c r="AH165" s="1" t="str">
        <f t="shared" si="53"/>
        <v>Frankreich</v>
      </c>
      <c r="AI165" s="1">
        <f t="shared" si="54"/>
        <v>0</v>
      </c>
      <c r="AJ165" s="1">
        <f t="shared" si="55"/>
        <v>0</v>
      </c>
      <c r="AL165" s="1">
        <f>IF(AND($Y$162=$Y$163,OR(AND($D163=$O$162,$E163=$O$163),AND($D163=$O$163,$E163=$O$162))),6,0)</f>
        <v>0</v>
      </c>
      <c r="AM165" s="1" t="e">
        <f t="shared" si="56"/>
        <v>#N/A</v>
      </c>
      <c r="AN165" s="1" t="e">
        <f t="shared" si="57"/>
        <v>#N/A</v>
      </c>
      <c r="AO165" s="1" t="e">
        <f t="shared" si="58"/>
        <v>#N/A</v>
      </c>
      <c r="AP165" s="1" t="e">
        <f t="shared" si="59"/>
        <v>#N/A</v>
      </c>
      <c r="AR165" s="1">
        <f>IF(ISERROR(AC167),0,1)+IF(ISERROR(AI167),0,1)</f>
        <v>2</v>
      </c>
    </row>
    <row r="166" spans="1:54" hidden="1" outlineLevel="1">
      <c r="B166" s="48"/>
      <c r="D166" s="14"/>
      <c r="E166" s="14"/>
      <c r="F166" s="14"/>
      <c r="G166" s="14"/>
      <c r="I166" s="1">
        <f>IF(F163="",0,IF(F163=G163,J$118,IF(F163&gt;G163,I$118,0)))</f>
        <v>0</v>
      </c>
      <c r="J166" s="1">
        <f>IF(G163="",0,IF(F163=G163,J$118,IF(F163&lt;G163,I$118,0)))</f>
        <v>0</v>
      </c>
      <c r="AB166"/>
      <c r="AR166" s="1">
        <f>IF(ISERROR(AO167),0,1)+IF(ISERROR(AI167),0,1)</f>
        <v>2</v>
      </c>
    </row>
    <row r="167" spans="1:54" hidden="1" outlineLevel="1">
      <c r="B167" s="48"/>
      <c r="D167" s="14"/>
      <c r="E167" s="14"/>
      <c r="F167" s="14"/>
      <c r="G167" s="14"/>
      <c r="I167" s="1">
        <f>IF(F172="",0,IF(F172=G172,J$118,IF(F172&gt;G172,I$118,0)))</f>
        <v>0</v>
      </c>
      <c r="J167" s="1">
        <f>IF(G172="",0,IF(F172=G172,J$118,IF(F172&lt;G172,I$118,0)))</f>
        <v>0</v>
      </c>
      <c r="Z167" s="1">
        <f>MAX(Z160:Z165)</f>
        <v>1</v>
      </c>
      <c r="AA167" s="1" t="str">
        <f>VLOOKUP(Z167,Z160:AD165,2,0)</f>
        <v>Schweiz</v>
      </c>
      <c r="AB167" s="1" t="str">
        <f>VLOOKUP(Z167,Z160:AD165,3,0)</f>
        <v>Ecuador</v>
      </c>
      <c r="AC167" s="1">
        <f>VLOOKUP(Z167,Z160:AD165,4,0)-VLOOKUP(Z167,Z160:AD165,5,0)</f>
        <v>0</v>
      </c>
      <c r="AF167" s="1">
        <f>MAX(AF160:AF165)</f>
        <v>6</v>
      </c>
      <c r="AG167" s="1" t="str">
        <f>VLOOKUP(AF167,AF160:AJ165,2,0)</f>
        <v>Ecuador</v>
      </c>
      <c r="AH167" s="1" t="str">
        <f>VLOOKUP(AF167,AF160:AJ165,3,0)</f>
        <v>Frankreich</v>
      </c>
      <c r="AI167" s="1">
        <f>VLOOKUP(AF167,AF160:AJ165,4,0)-VLOOKUP(AF167,AF160:AJ165,5,0)</f>
        <v>0</v>
      </c>
      <c r="AL167" s="1">
        <f>MAX(AL160:AL165)</f>
        <v>2</v>
      </c>
      <c r="AM167" s="1" t="str">
        <f>VLOOKUP(AL167,AL160:AP165,2,0)</f>
        <v>Frankreich</v>
      </c>
      <c r="AN167" s="1" t="str">
        <f>VLOOKUP(AL167,AL160:AP165,3,0)</f>
        <v>Honduras</v>
      </c>
      <c r="AO167" s="1">
        <f>VLOOKUP(AL167,AL160:AP165,4,0)-VLOOKUP(AL167,AL160:AP165,5,0)</f>
        <v>0</v>
      </c>
      <c r="AR167" s="1">
        <f>IF(OR(AR165=2,AR166=2),1,0)</f>
        <v>1</v>
      </c>
    </row>
    <row r="168" spans="1:54" hidden="1" outlineLevel="1">
      <c r="B168" s="48"/>
    </row>
    <row r="169" spans="1:54" ht="15.75" hidden="1" outlineLevel="1" thickBot="1">
      <c r="B169" s="49" t="s">
        <v>12</v>
      </c>
      <c r="D169" s="3" t="str">
        <f>B$169</f>
        <v>#######</v>
      </c>
      <c r="E169" s="3" t="str">
        <f>B160</f>
        <v>Schweiz</v>
      </c>
      <c r="F169" s="5"/>
      <c r="G169" s="6"/>
      <c r="N169" s="26">
        <f>IF(M164=M163,"",K164)</f>
        <v>5</v>
      </c>
      <c r="O169" s="27" t="str">
        <f>VLOOKUP($K164,$A$188:$G$192,3,0)</f>
        <v>#######</v>
      </c>
      <c r="P169" s="28">
        <f>VLOOKUP($K164,$A$188:$K$192,11,0)</f>
        <v>0</v>
      </c>
      <c r="Q169" s="29">
        <f>VLOOKUP($K164,$A$188:$G$192,4,0)</f>
        <v>0</v>
      </c>
      <c r="R169" s="30">
        <f>VLOOKUP($K164,$A$188:$G$192,5,0)</f>
        <v>-100</v>
      </c>
      <c r="S169" s="30">
        <f>VLOOKUP($K164,$A$188:$G$192,6,0)</f>
        <v>0</v>
      </c>
      <c r="T169" s="31">
        <f>VLOOKUP($K164,$A$188:$G$192,7,0)</f>
        <v>-100</v>
      </c>
      <c r="U169" s="32">
        <f>VLOOKUP($K164,$A$188:$M$192,12,0)</f>
        <v>0</v>
      </c>
      <c r="V169" s="33">
        <f>VLOOKUP($K164,$A$188:$M$192,13,0)</f>
        <v>0</v>
      </c>
      <c r="W169" s="34">
        <f>P169-U169-V169</f>
        <v>0</v>
      </c>
    </row>
    <row r="170" spans="1:54" hidden="1" outlineLevel="1">
      <c r="B170" s="48"/>
      <c r="D170" s="3" t="str">
        <f>B$163</f>
        <v>Honduras</v>
      </c>
      <c r="E170" s="3" t="str">
        <f>B169</f>
        <v>#######</v>
      </c>
      <c r="F170" s="5"/>
      <c r="G170" s="6"/>
      <c r="AA170" s="5"/>
      <c r="AB170" s="6"/>
    </row>
    <row r="171" spans="1:54" hidden="1" outlineLevel="1">
      <c r="B171" s="48"/>
      <c r="D171" s="3" t="str">
        <f>B169</f>
        <v>#######</v>
      </c>
      <c r="E171" s="3" t="str">
        <f>B161</f>
        <v>Ecuador</v>
      </c>
      <c r="F171" s="5"/>
      <c r="G171" s="6"/>
      <c r="AA171" s="5"/>
      <c r="AB171" s="6"/>
    </row>
    <row r="172" spans="1:54" hidden="1" outlineLevel="1">
      <c r="B172" s="48"/>
      <c r="D172" s="3" t="str">
        <f>B162</f>
        <v>Frankreich</v>
      </c>
      <c r="E172" s="3" t="str">
        <f>B169</f>
        <v>#######</v>
      </c>
      <c r="F172" s="5"/>
      <c r="G172" s="6"/>
      <c r="AA172" s="5"/>
      <c r="AB172" s="6"/>
    </row>
    <row r="173" spans="1:54" hidden="1" outlineLevel="1">
      <c r="B173" s="48"/>
      <c r="AA173" s="5"/>
      <c r="AB173" s="6"/>
    </row>
    <row r="174" spans="1:54" hidden="1" outlineLevel="1">
      <c r="B174" s="48"/>
      <c r="D174" s="3" t="str">
        <f>B160</f>
        <v>Schweiz</v>
      </c>
      <c r="G174" s="1" t="str">
        <f>B161</f>
        <v>Ecuador</v>
      </c>
      <c r="J174" s="1" t="str">
        <f>B162</f>
        <v>Frankreich</v>
      </c>
      <c r="M174" s="1" t="str">
        <f>B163</f>
        <v>Honduras</v>
      </c>
      <c r="P174" s="1" t="str">
        <f>B169</f>
        <v>#######</v>
      </c>
      <c r="AA174" s="5"/>
      <c r="AB174" s="6"/>
    </row>
    <row r="175" spans="1:54" hidden="1" outlineLevel="1">
      <c r="B175" s="48"/>
      <c r="D175" s="3" t="s">
        <v>13</v>
      </c>
      <c r="E175" s="36" t="s">
        <v>4</v>
      </c>
      <c r="F175" s="21" t="s">
        <v>14</v>
      </c>
      <c r="G175" s="22" t="s">
        <v>13</v>
      </c>
      <c r="H175" s="60" t="s">
        <v>4</v>
      </c>
      <c r="I175" s="21" t="s">
        <v>14</v>
      </c>
      <c r="J175" s="22" t="s">
        <v>13</v>
      </c>
      <c r="K175" s="37" t="s">
        <v>4</v>
      </c>
      <c r="L175" s="21" t="s">
        <v>14</v>
      </c>
      <c r="M175" s="22" t="s">
        <v>13</v>
      </c>
      <c r="N175" s="37" t="s">
        <v>4</v>
      </c>
      <c r="O175" s="21" t="s">
        <v>14</v>
      </c>
      <c r="P175" s="22" t="s">
        <v>13</v>
      </c>
      <c r="Q175" s="37" t="s">
        <v>4</v>
      </c>
      <c r="R175" s="21" t="s">
        <v>14</v>
      </c>
      <c r="AA175" s="5"/>
      <c r="AB175" s="6"/>
    </row>
    <row r="176" spans="1:54" hidden="1" outlineLevel="1">
      <c r="B176" s="48"/>
      <c r="D176" s="3" t="str">
        <f>IF(AND(OR($D158=D$174,$E158=D$174),$F158=""),"A",IF($D158=D$174,$I158,0)+IF($E158=D$174,$J158,0))</f>
        <v>A</v>
      </c>
      <c r="E176" s="3">
        <f>IF($D158=D$174,$F158,0)+IF($E158=D$174,$G158,0)</f>
        <v>0</v>
      </c>
      <c r="F176" s="1">
        <f>IF($D158=D$174,-$G158,0)+IF($E158=D$174,-$F158,0)</f>
        <v>0</v>
      </c>
      <c r="G176" s="22" t="str">
        <f>IF(AND(OR($D158=G$174,$E158=G$174),$F158=""),"A",IF($D158=G$174,$I158,0)+IF($E158=G$174,$J158,0))</f>
        <v>A</v>
      </c>
      <c r="H176" s="59">
        <f>IF($D158=G$174,$F158,0)+IF($E158=G$174,$G158,0)</f>
        <v>0</v>
      </c>
      <c r="I176" s="1">
        <f>IF($D158=G$174,-$G158,0)+IF($E158=G$174,-$F158,0)</f>
        <v>0</v>
      </c>
      <c r="J176" s="22">
        <f>IF(AND(OR($D158=J$174,$E158=J$174),$F158=""),"A",IF($D158=J$174,$I158,0)+IF($E158=J$174,$J158,0))</f>
        <v>0</v>
      </c>
      <c r="K176" s="22">
        <f>IF($D158=J$174,$F158,0)+IF($E158=J$174,$G158,0)</f>
        <v>0</v>
      </c>
      <c r="L176" s="1">
        <f>IF($D158=J$174,-$G158,0)+IF($E158=J$174,-$F158,0)</f>
        <v>0</v>
      </c>
      <c r="M176" s="22">
        <f>IF(AND(OR($D158=M$174,$E158=M$174),$F158=""),"A",IF($D158=M$174,$I158,0)+IF($E158=M$174,$J158,0))</f>
        <v>0</v>
      </c>
      <c r="N176" s="22">
        <f>IF($D158=M$174,$F158,0)+IF($E158=M$174,$G158,0)</f>
        <v>0</v>
      </c>
      <c r="O176" s="1">
        <f>IF($D158=M$174,-$G158,0)+IF($E158=M$174,-$F158,0)</f>
        <v>0</v>
      </c>
      <c r="P176" s="22">
        <f>IF(AND(OR($D158=P$174,$E158=P$174),$F158=""),"A",IF($D158=P$174,$I158,0)+IF($E158=P$174,$J158,0))</f>
        <v>0</v>
      </c>
      <c r="Q176" s="22">
        <f>IF($D158=P$174,$F158,0)+IF($E158=P$174,$G158,0)</f>
        <v>0</v>
      </c>
      <c r="R176" s="1">
        <f>IF($D158=P$174,-$G158,0)+IF($E158=P$174,-$F158,0)</f>
        <v>0</v>
      </c>
    </row>
    <row r="177" spans="1:18" hidden="1" outlineLevel="1">
      <c r="B177" s="48"/>
      <c r="D177" s="3">
        <f>IF(AND(OR($D159=D$174,$E159=D$174),$F159=""),"A",IF($D159=D$174,$I159,0)+IF($E159=D$174,$J159,0))</f>
        <v>0</v>
      </c>
      <c r="E177" s="3">
        <f>IF($D159=$B$160,$F159,0)+IF($E159=$B$160,$G159,0)</f>
        <v>0</v>
      </c>
      <c r="F177" s="1">
        <f>IF($D159=$B$160,-$G159,0)+IF($E159=$B$160,-$F159,0)</f>
        <v>0</v>
      </c>
      <c r="G177" s="22">
        <f>IF(AND(OR($D159=G$174,$E159=G$174),$F159=""),"A",IF($D159=G$174,$I159,0)+IF($E159=G$174,$J159,0))</f>
        <v>0</v>
      </c>
      <c r="H177" s="59">
        <f>IF($D159=G$174,$F159,0)+IF($E159=G$174,$G159,0)</f>
        <v>0</v>
      </c>
      <c r="I177" s="1">
        <f>IF($D159=G$174,-$G159,0)+IF($E159=G$174,-$F159,0)</f>
        <v>0</v>
      </c>
      <c r="J177" s="22" t="str">
        <f>IF(AND(OR($D159=J$174,$E159=J$174),$F159=""),"A",IF($D159=J$174,$I159,0)+IF($E159=J$174,$J159,0))</f>
        <v>A</v>
      </c>
      <c r="K177" s="22">
        <f>IF($D159=J$174,$F159,0)+IF($E159=J$174,$G159,0)</f>
        <v>0</v>
      </c>
      <c r="L177" s="1">
        <f>IF($D159=J$174,-$G159,0)+IF($E159=J$174,-$F159,0)</f>
        <v>0</v>
      </c>
      <c r="M177" s="22" t="str">
        <f>IF(AND(OR($D159=M$174,$E159=M$174),$F159=""),"A",IF($D159=M$174,$I159,0)+IF($E159=M$174,$J159,0))</f>
        <v>A</v>
      </c>
      <c r="N177" s="22">
        <f>IF($D159=M$174,$F159,0)+IF($E159=M$174,$G159,0)</f>
        <v>0</v>
      </c>
      <c r="O177" s="1">
        <f>IF($D159=M$174,-$G159,0)+IF($E159=M$174,-$F159,0)</f>
        <v>0</v>
      </c>
      <c r="P177" s="22">
        <f>IF(AND(OR($D159=P$174,$E159=P$174),$F159=""),"A",IF($D159=P$174,$I159,0)+IF($E159=P$174,$J159,0))</f>
        <v>0</v>
      </c>
      <c r="Q177" s="22">
        <f>IF($D159=P$174,$F159,0)+IF($E159=P$174,$G159,0)</f>
        <v>0</v>
      </c>
      <c r="R177" s="1">
        <f>IF($D159=P$174,-$G159,0)+IF($E159=P$174,-$F159,0)</f>
        <v>0</v>
      </c>
    </row>
    <row r="178" spans="1:18" hidden="1" outlineLevel="1">
      <c r="B178" s="48"/>
      <c r="D178" s="3" t="str">
        <f>IF(AND(OR($D169=D$174,$E169=D$174),$F169=""),"A",IF($D169=D$174,$I160,0)+IF($E169=D$174,$J160,0))</f>
        <v>A</v>
      </c>
      <c r="E178" s="3">
        <f>IF($D169=$B$160,$F169,0)+IF($E169=$B$160,$G169,0)</f>
        <v>0</v>
      </c>
      <c r="F178" s="1">
        <f>IF($D169=$B$160,-$G169,0)+IF($E169=$B$160,-$F169,0)</f>
        <v>0</v>
      </c>
      <c r="G178" s="22">
        <f>IF(AND(OR($D169=G$174,$E169=G$174),$F169=""),"A",IF($D169=G$174,$I160,0)+IF($E169=G$174,$J160,0))</f>
        <v>0</v>
      </c>
      <c r="H178" s="59">
        <f>IF($D169=G$174,$F169,0)+IF($E169=G$174,$G169,0)</f>
        <v>0</v>
      </c>
      <c r="I178" s="1">
        <f>IF($D169=G$174,-$G169,0)+IF($E169=G$174,-$F169,0)</f>
        <v>0</v>
      </c>
      <c r="J178" s="22">
        <f>IF(AND(OR($D169=J$174,$E169=J$174),$F169=""),"A",IF($D169=J$174,$I160,0)+IF($E169=J$174,$J160,0))</f>
        <v>0</v>
      </c>
      <c r="K178" s="22">
        <f>IF($D169=J$174,$F169,0)+IF($E169=J$174,$G169,0)</f>
        <v>0</v>
      </c>
      <c r="L178" s="1">
        <f>IF($D169=J$174,-$G169,0)+IF($E169=J$174,-$F169,0)</f>
        <v>0</v>
      </c>
      <c r="M178" s="22">
        <f>IF(AND(OR($D169=M$174,$E169=M$174),$F169=""),"A",IF($D169=M$174,$I160,0)+IF($E169=M$174,$J160,0))</f>
        <v>0</v>
      </c>
      <c r="N178" s="22">
        <f>IF($D169=M$174,$F169,0)+IF($E169=M$174,$G169,0)</f>
        <v>0</v>
      </c>
      <c r="O178" s="1">
        <f>IF($D169=M$174,-$G169,0)+IF($E169=M$174,-$F169,0)</f>
        <v>0</v>
      </c>
      <c r="P178" s="22" t="str">
        <f>IF(AND(OR($D169=P$174,$E169=P$174),$F169=""),"A",IF($D169=P$174,$I160,0)+IF($E169=P$174,$J160,0))</f>
        <v>A</v>
      </c>
      <c r="Q178" s="22">
        <f>IF($D169=P$174,$F169,0)+IF($E169=P$174,$G169,0)</f>
        <v>0</v>
      </c>
      <c r="R178" s="1">
        <f>IF($D169=P$174,-$G169,0)+IF($E169=P$174,-$F169,0)</f>
        <v>0</v>
      </c>
    </row>
    <row r="179" spans="1:18" hidden="1" outlineLevel="1">
      <c r="B179" s="48"/>
      <c r="D179" s="3" t="str">
        <f>IF(AND(OR($D160=D$174,$E160=D$174),$F160=""),"A",IF($D160=D$174,$I161,0)+IF($E160=D$174,$J161,0))</f>
        <v>A</v>
      </c>
      <c r="E179" s="3">
        <f>IF($D160=$B$160,$F160,0)+IF($E160=$B$160,$G160,0)</f>
        <v>0</v>
      </c>
      <c r="F179" s="1">
        <f>IF($D160=$B$160,-$G160,0)+IF($E160=$B$160,-$F160,0)</f>
        <v>0</v>
      </c>
      <c r="G179" s="22">
        <f>IF(AND(OR($D160=G$174,$E160=G$174),$F160=""),"A",IF($D160=G$174,$I161,0)+IF($E160=G$174,$J161,0))</f>
        <v>0</v>
      </c>
      <c r="H179" s="59">
        <f>IF($D160=G$174,$F160,0)+IF($E160=G$174,$G160,0)</f>
        <v>0</v>
      </c>
      <c r="I179" s="1">
        <f>IF($D160=G$174,-$G160,0)+IF($E160=G$174,-$F160,0)</f>
        <v>0</v>
      </c>
      <c r="J179" s="22" t="str">
        <f>IF(AND(OR($D160=J$174,$E160=J$174),$F160=""),"A",IF($D160=J$174,$I161,0)+IF($E160=J$174,$J161,0))</f>
        <v>A</v>
      </c>
      <c r="K179" s="22">
        <f>IF($D160=J$174,$F160,0)+IF($E160=J$174,$G160,0)</f>
        <v>0</v>
      </c>
      <c r="L179" s="1">
        <f>IF($D160=J$174,-$G160,0)+IF($E160=J$174,-$F160,0)</f>
        <v>0</v>
      </c>
      <c r="M179" s="22">
        <f>IF(AND(OR($D160=M$174,$E160=M$174),$F160=""),"A",IF($D160=M$174,$I161,0)+IF($E160=M$174,$J161,0))</f>
        <v>0</v>
      </c>
      <c r="N179" s="22">
        <f>IF($D160=M$174,$F160,0)+IF($E160=M$174,$G160,0)</f>
        <v>0</v>
      </c>
      <c r="O179" s="1">
        <f>IF($D160=M$174,-$G160,0)+IF($E160=M$174,-$F160,0)</f>
        <v>0</v>
      </c>
      <c r="P179" s="22">
        <f>IF(AND(OR($D160=P$174,$E160=P$174),$F160=""),"A",IF($D160=P$174,$I161,0)+IF($E160=P$174,$J161,0))</f>
        <v>0</v>
      </c>
      <c r="Q179" s="22">
        <f>IF($D160=P$174,$F160,0)+IF($E160=P$174,$G160,0)</f>
        <v>0</v>
      </c>
      <c r="R179" s="1">
        <f>IF($D160=P$174,-$G160,0)+IF($E160=P$174,-$F160,0)</f>
        <v>0</v>
      </c>
    </row>
    <row r="180" spans="1:18" hidden="1" outlineLevel="1">
      <c r="B180" s="48"/>
      <c r="D180" s="3">
        <f>IF(AND(OR($D170=D$174,$E170=D$174),$F170=""),"A",IF($D170=D$174,$I162,0)+IF($E170=D$174,$J162,0))</f>
        <v>0</v>
      </c>
      <c r="E180" s="3">
        <f>IF($D170=$B$160,$F170,0)+IF($E170=$B$160,$G170,0)</f>
        <v>0</v>
      </c>
      <c r="F180" s="1">
        <f>IF($D170=$B$160,-$G170,0)+IF($E170=$B$160,-$F170,0)</f>
        <v>0</v>
      </c>
      <c r="G180" s="22">
        <f>IF(AND(OR($D170=G$174,$E170=G$174),$F170=""),"A",IF($D170=G$174,$I162,0)+IF($E170=G$174,$J162,0))</f>
        <v>0</v>
      </c>
      <c r="H180" s="59">
        <f>IF($D170=G$174,$F170,0)+IF($E170=G$174,$G170,0)</f>
        <v>0</v>
      </c>
      <c r="I180" s="1">
        <f>IF($D170=G$174,-$G170,0)+IF($E170=G$174,-$F170,0)</f>
        <v>0</v>
      </c>
      <c r="J180" s="22">
        <f>IF(AND(OR($D170=J$174,$E170=J$174),$F170=""),"A",IF($D170=J$174,$I162,0)+IF($E170=J$174,$J162,0))</f>
        <v>0</v>
      </c>
      <c r="K180" s="22">
        <f>IF($D170=J$174,$F170,0)+IF($E170=J$174,$G170,0)</f>
        <v>0</v>
      </c>
      <c r="L180" s="1">
        <f>IF($D170=J$174,-$G170,0)+IF($E170=J$174,-$F170,0)</f>
        <v>0</v>
      </c>
      <c r="M180" s="22" t="str">
        <f>IF(AND(OR($D170=M$174,$E170=M$174),$F170=""),"A",IF($D170=M$174,$I162,0)+IF($E170=M$174,$J162,0))</f>
        <v>A</v>
      </c>
      <c r="N180" s="22">
        <f>IF($D170=M$174,$F170,0)+IF($E170=M$174,$G170,0)</f>
        <v>0</v>
      </c>
      <c r="O180" s="1">
        <f>IF($D170=M$174,-$G170,0)+IF($E170=M$174,-$F170,0)</f>
        <v>0</v>
      </c>
      <c r="P180" s="22" t="str">
        <f>IF(AND(OR($D170=P$174,$E170=P$174),$F170=""),"A",IF($D170=P$174,$I162,0)+IF($E170=P$174,$J162,0))</f>
        <v>A</v>
      </c>
      <c r="Q180" s="22">
        <f>IF($D170=P$174,$F170,0)+IF($E170=P$174,$G170,0)</f>
        <v>0</v>
      </c>
      <c r="R180" s="1">
        <f>IF($D170=P$174,-$G170,0)+IF($E170=P$174,-$F170,0)</f>
        <v>0</v>
      </c>
    </row>
    <row r="181" spans="1:18" hidden="1" outlineLevel="1">
      <c r="B181" s="48"/>
      <c r="D181" s="3">
        <f>IF(AND(OR($D161=D$174,$E161=D$174),$F161=""),"A",IF($D161=D$174,$I163,0)+IF($E161=D$174,$J163,0))</f>
        <v>0</v>
      </c>
      <c r="E181" s="3">
        <f>IF($D161=$B$160,$F161,0)+IF($E161=$B$160,$G161,0)</f>
        <v>0</v>
      </c>
      <c r="F181" s="1">
        <f>IF($D161=$B$160,-$G161,0)+IF($E161=$B$160,-$F161,0)</f>
        <v>0</v>
      </c>
      <c r="G181" s="22" t="str">
        <f>IF(AND(OR($D161=G$174,$E161=G$174),$F161=""),"A",IF($D161=G$174,$I163,0)+IF($E161=G$174,$J163,0))</f>
        <v>A</v>
      </c>
      <c r="H181" s="59">
        <f>IF($D161=G$174,$F161,0)+IF($E161=G$174,$G161,0)</f>
        <v>0</v>
      </c>
      <c r="I181" s="1">
        <f>IF($D161=G$174,-$G161,0)+IF($E161=G$174,-$F161,0)</f>
        <v>0</v>
      </c>
      <c r="J181" s="22">
        <f>IF(AND(OR($D161=J$174,$E161=J$174),$F161=""),"A",IF($D161=J$174,$I163,0)+IF($E161=J$174,$J163,0))</f>
        <v>0</v>
      </c>
      <c r="K181" s="22">
        <f>IF($D161=J$174,$F161,0)+IF($E161=J$174,$G161,0)</f>
        <v>0</v>
      </c>
      <c r="L181" s="1">
        <f>IF($D161=J$174,-$G161,0)+IF($E161=J$174,-$F161,0)</f>
        <v>0</v>
      </c>
      <c r="M181" s="22" t="str">
        <f>IF(AND(OR($D161=M$174,$E161=M$174),$F161=""),"A",IF($D161=M$174,$I163,0)+IF($E161=M$174,$J163,0))</f>
        <v>A</v>
      </c>
      <c r="N181" s="22">
        <f>IF($D161=M$174,$F161,0)+IF($E161=M$174,$G161,0)</f>
        <v>0</v>
      </c>
      <c r="O181" s="1">
        <f>IF($D161=M$174,-$G161,0)+IF($E161=M$174,-$F161,0)</f>
        <v>0</v>
      </c>
      <c r="P181" s="22">
        <f>IF(AND(OR($D161=P$174,$E161=P$174),$F161=""),"A",IF($D161=P$174,$I163,0)+IF($E161=P$174,$J163,0))</f>
        <v>0</v>
      </c>
      <c r="Q181" s="22">
        <f>IF($D161=P$174,$F161,0)+IF($E161=P$174,$G161,0)</f>
        <v>0</v>
      </c>
      <c r="R181" s="1">
        <f>IF($D161=P$174,-$G161,0)+IF($E161=P$174,-$F161,0)</f>
        <v>0</v>
      </c>
    </row>
    <row r="182" spans="1:18" hidden="1" outlineLevel="1">
      <c r="B182" s="48"/>
      <c r="D182" s="3" t="str">
        <f>IF(AND(OR($D162=D$174,$E162=D$174),$F162=""),"A",IF($D162=D$174,$I164,0)+IF($E162=D$174,$J164,0))</f>
        <v>A</v>
      </c>
      <c r="E182" s="3">
        <f>IF($D162=$B$160,$F162,0)+IF($E162=$B$160,$G162,0)</f>
        <v>0</v>
      </c>
      <c r="F182" s="1">
        <f>IF($D162=$B$160,-$G162,0)+IF($E162=$B$160,-$F162,0)</f>
        <v>0</v>
      </c>
      <c r="G182" s="22">
        <f>IF(AND(OR($D162=G$174,$E162=G$174),$F162=""),"A",IF($D162=G$174,$I164,0)+IF($E162=G$174,$J164,0))</f>
        <v>0</v>
      </c>
      <c r="H182" s="59">
        <f>IF($D162=G$174,$F162,0)+IF($E162=G$174,$G162,0)</f>
        <v>0</v>
      </c>
      <c r="I182" s="1">
        <f>IF($D162=G$174,-$G162,0)+IF($E162=G$174,-$F162,0)</f>
        <v>0</v>
      </c>
      <c r="J182" s="22">
        <f>IF(AND(OR($D162=J$174,$E162=J$174),$F162=""),"A",IF($D162=J$174,$I164,0)+IF($E162=J$174,$J164,0))</f>
        <v>0</v>
      </c>
      <c r="K182" s="22">
        <f>IF($D162=J$174,$F162,0)+IF($E162=J$174,$G162,0)</f>
        <v>0</v>
      </c>
      <c r="L182" s="1">
        <f>IF($D162=J$174,-$G162,0)+IF($E162=J$174,-$F162,0)</f>
        <v>0</v>
      </c>
      <c r="M182" s="22" t="str">
        <f>IF(AND(OR($D162=M$174,$E162=M$174),$F162=""),"A",IF($D162=M$174,$I164,0)+IF($E162=M$174,$J164,0))</f>
        <v>A</v>
      </c>
      <c r="N182" s="22">
        <f>IF($D162=M$174,$F162,0)+IF($E162=M$174,$G162,0)</f>
        <v>0</v>
      </c>
      <c r="O182" s="1">
        <f>IF($D162=M$174,-$G162,0)+IF($E162=M$174,-$F162,0)</f>
        <v>0</v>
      </c>
      <c r="P182" s="22">
        <f>IF(AND(OR($D162=P$174,$E162=P$174),$F162=""),"A",IF($D162=P$174,$I164,0)+IF($E162=P$174,$J164,0))</f>
        <v>0</v>
      </c>
      <c r="Q182" s="22">
        <f>IF($D162=P$174,$F162,0)+IF($E162=P$174,$G162,0)</f>
        <v>0</v>
      </c>
      <c r="R182" s="1">
        <f>IF($D162=P$174,-$G162,0)+IF($E162=P$174,-$F162,0)</f>
        <v>0</v>
      </c>
    </row>
    <row r="183" spans="1:18" hidden="1" outlineLevel="1">
      <c r="B183" s="48"/>
      <c r="D183" s="3">
        <f>IF(AND(OR($D171=D$174,$E171=D$174),$F171=""),"A",IF($D171=D$174,$I165,0)+IF($E171=D$174,$J165,0))</f>
        <v>0</v>
      </c>
      <c r="E183" s="3">
        <f>IF($D171=$B$160,$F171,0)+IF($E171=$B$160,$G171,0)</f>
        <v>0</v>
      </c>
      <c r="F183" s="1">
        <f>IF($D171=$B$160,-$G171,0)+IF($E171=$B$160,-$F171,0)</f>
        <v>0</v>
      </c>
      <c r="G183" s="22" t="str">
        <f>IF(AND(OR($D171=G$174,$E171=G$174),$F171=""),"A",IF($D171=G$174,$I165,0)+IF($E171=G$174,$J165,0))</f>
        <v>A</v>
      </c>
      <c r="H183" s="59">
        <f>IF($D171=G$174,$F171,0)+IF($E171=G$174,$G171,0)</f>
        <v>0</v>
      </c>
      <c r="I183" s="1">
        <f>IF($D171=G$174,-$G171,0)+IF($E171=G$174,-$F171,0)</f>
        <v>0</v>
      </c>
      <c r="J183" s="22">
        <f>IF(AND(OR($D171=J$174,$E171=J$174),$F171=""),"A",IF($D171=J$174,$I165,0)+IF($E171=J$174,$J165,0))</f>
        <v>0</v>
      </c>
      <c r="K183" s="22">
        <f>IF($D171=J$174,$F171,0)+IF($E171=J$174,$G171,0)</f>
        <v>0</v>
      </c>
      <c r="L183" s="1">
        <f>IF($D171=J$174,-$G171,0)+IF($E171=J$174,-$F171,0)</f>
        <v>0</v>
      </c>
      <c r="M183" s="22">
        <f>IF(AND(OR($D171=M$174,$E171=M$174),$F171=""),"A",IF($D171=M$174,$I165,0)+IF($E171=M$174,$J165,0))</f>
        <v>0</v>
      </c>
      <c r="N183" s="22">
        <f>IF($D171=M$174,$F171,0)+IF($E171=M$174,$G171,0)</f>
        <v>0</v>
      </c>
      <c r="O183" s="1">
        <f>IF($D171=M$174,-$G171,0)+IF($E171=M$174,-$F171,0)</f>
        <v>0</v>
      </c>
      <c r="P183" s="22" t="str">
        <f>IF(AND(OR($D171=P$174,$E171=P$174),$F171=""),"A",IF($D171=P$174,$I165,0)+IF($E171=P$174,$J165,0))</f>
        <v>A</v>
      </c>
      <c r="Q183" s="22">
        <f>IF($D171=P$174,$F171,0)+IF($E171=P$174,$G171,0)</f>
        <v>0</v>
      </c>
      <c r="R183" s="1">
        <f>IF($D171=P$174,-$G171,0)+IF($E171=P$174,-$F171,0)</f>
        <v>0</v>
      </c>
    </row>
    <row r="184" spans="1:18" hidden="1" outlineLevel="1">
      <c r="B184" s="48"/>
      <c r="D184" s="3">
        <f>IF(AND(OR($D163=D$174,$E163=D$174),$F163=""),"A",IF($D163=D$174,$I166,0)+IF($E163=D$174,$J166,0))</f>
        <v>0</v>
      </c>
      <c r="E184" s="3">
        <f>IF($D163=$B$160,$F163,0)+IF($E163=$B$160,$G163,0)</f>
        <v>0</v>
      </c>
      <c r="F184" s="1">
        <f>IF($D163=$B$160,-$G163,0)+IF($E163=$B$160,-$F163,0)</f>
        <v>0</v>
      </c>
      <c r="G184" s="22" t="str">
        <f>IF(AND(OR($D163=G$174,$E163=G$174),$F163=""),"A",IF($D163=G$174,$I166,0)+IF($E163=G$174,$J166,0))</f>
        <v>A</v>
      </c>
      <c r="H184" s="59">
        <f>IF($D163=G$174,$F163,0)+IF($E163=G$174,$G163,0)</f>
        <v>0</v>
      </c>
      <c r="I184" s="1">
        <f>IF($D163=G$174,-$G163,0)+IF($E163=G$174,-$F163,0)</f>
        <v>0</v>
      </c>
      <c r="J184" s="22" t="str">
        <f>IF(AND(OR($D163=J$174,$E163=J$174),$F163=""),"A",IF($D163=J$174,$I166,0)+IF($E163=J$174,$J166,0))</f>
        <v>A</v>
      </c>
      <c r="K184" s="22">
        <f>IF($D163=J$174,$F163,0)+IF($E163=J$174,$G163,0)</f>
        <v>0</v>
      </c>
      <c r="L184" s="1">
        <f>IF($D163=J$174,-$G163,0)+IF($E163=J$174,-$F163,0)</f>
        <v>0</v>
      </c>
      <c r="M184" s="22">
        <f>IF(AND(OR($D163=M$174,$E163=M$174),$F163=""),"A",IF($D163=M$174,$I166,0)+IF($E163=M$174,$J166,0))</f>
        <v>0</v>
      </c>
      <c r="N184" s="22">
        <f>IF($D163=M$174,$F163,0)+IF($E163=M$174,$G163,0)</f>
        <v>0</v>
      </c>
      <c r="O184" s="1">
        <f>IF($D163=M$174,-$G163,0)+IF($E163=M$174,-$F163,0)</f>
        <v>0</v>
      </c>
      <c r="P184" s="22">
        <f>IF(AND(OR($D163=P$174,$E163=P$174),$F163=""),"A",IF($D163=P$174,$I166,0)+IF($E163=P$174,$J166,0))</f>
        <v>0</v>
      </c>
      <c r="Q184" s="22">
        <f>IF($D163=P$174,$F163,0)+IF($E163=P$174,$G163,0)</f>
        <v>0</v>
      </c>
      <c r="R184" s="1">
        <f>IF($D163=P$174,-$G163,0)+IF($E163=P$174,-$F163,0)</f>
        <v>0</v>
      </c>
    </row>
    <row r="185" spans="1:18" hidden="1" outlineLevel="1">
      <c r="B185" s="48"/>
      <c r="D185" s="3">
        <f>IF(AND(OR($D172=D$174,$E172=D$174),$F172=""),"A",IF($D172=D$174,$I167,0)+IF($E172=D$174,$J167,0))</f>
        <v>0</v>
      </c>
      <c r="E185" s="3">
        <f>IF($D172=$B$160,$F172,0)+IF($E172=$B$160,$G172,0)</f>
        <v>0</v>
      </c>
      <c r="F185" s="1">
        <f>IF($D172=$B$160,-$G172,0)+IF($E172=$B$160,-$F172,0)</f>
        <v>0</v>
      </c>
      <c r="G185" s="22">
        <f>IF(AND(OR($D172=G$174,$E172=G$174),$F172=""),"A",IF($D172=G$174,$I167,0)+IF($E172=G$174,$J167,0))</f>
        <v>0</v>
      </c>
      <c r="H185" s="59">
        <f>IF($D172=G$174,$F172,0)+IF($E172=G$174,$G172,0)</f>
        <v>0</v>
      </c>
      <c r="I185" s="1">
        <f>IF($D172=G$174,-$G172,0)+IF($E172=G$174,-$F172,0)</f>
        <v>0</v>
      </c>
      <c r="J185" s="22" t="str">
        <f>IF(AND(OR($D172=J$174,$E172=J$174),$F172=""),"A",IF($D172=J$174,$I167,0)+IF($E172=J$174,$J167,0))</f>
        <v>A</v>
      </c>
      <c r="K185" s="22">
        <f>IF($D172=J$174,$F172,0)+IF($E172=J$174,$G172,0)</f>
        <v>0</v>
      </c>
      <c r="L185" s="1">
        <f>IF($D172=J$174,-$G172,0)+IF($E172=J$174,-$F172,0)</f>
        <v>0</v>
      </c>
      <c r="M185" s="22">
        <f>IF(AND(OR($D172=M$174,$E172=M$174),$F172=""),"A",IF($D172=M$174,$I167,0)+IF($E172=M$174,$J167,0))</f>
        <v>0</v>
      </c>
      <c r="N185" s="22">
        <f>IF($D172=M$174,$F172,0)+IF($E172=M$174,$G172,0)</f>
        <v>0</v>
      </c>
      <c r="O185" s="1">
        <f>IF($D172=M$174,-$G172,0)+IF($E172=M$174,-$F172,0)</f>
        <v>0</v>
      </c>
      <c r="P185" s="22" t="str">
        <f>IF(AND(OR($D172=P$174,$E172=P$174),$F172=""),"A",IF($D172=P$174,$I167,0)+IF($E172=P$174,$J167,0))</f>
        <v>A</v>
      </c>
      <c r="Q185" s="22">
        <f>IF($D172=P$174,$F172,0)+IF($E172=P$174,$G172,0)</f>
        <v>0</v>
      </c>
      <c r="R185" s="1">
        <f>IF($D172=P$174,-$G172,0)+IF($E172=P$174,-$F172,0)</f>
        <v>0</v>
      </c>
    </row>
    <row r="186" spans="1:18" hidden="1" outlineLevel="1">
      <c r="B186" s="48"/>
    </row>
    <row r="187" spans="1:18" hidden="1" outlineLevel="1">
      <c r="B187" s="48"/>
      <c r="H187" s="59" t="s">
        <v>15</v>
      </c>
      <c r="I187" s="1" t="s">
        <v>16</v>
      </c>
      <c r="J187" s="38" t="s">
        <v>4</v>
      </c>
      <c r="K187" s="1" t="s">
        <v>17</v>
      </c>
    </row>
    <row r="188" spans="1:18" hidden="1" outlineLevel="1">
      <c r="A188" s="21">
        <f>RANK(B188,B$188:B$192,1)</f>
        <v>1</v>
      </c>
      <c r="B188" s="48">
        <f>SUM(H188:J188)+ROW()/1000</f>
        <v>10110.188</v>
      </c>
      <c r="C188" s="22" t="str">
        <f>B160</f>
        <v>Schweiz</v>
      </c>
      <c r="D188" s="3">
        <f>SUM(D176:D185)</f>
        <v>0</v>
      </c>
      <c r="E188" s="3">
        <f>F188+G188</f>
        <v>0</v>
      </c>
      <c r="F188" s="22">
        <f>SUM(E176:E185)</f>
        <v>0</v>
      </c>
      <c r="G188" s="22">
        <f>SUM(F176:F185)</f>
        <v>0</v>
      </c>
      <c r="H188" s="59">
        <f>10000*RANK(D188,D$188:D$192)-N188</f>
        <v>10000</v>
      </c>
      <c r="I188" s="1">
        <f>100*RANK(E188,E$188:E$192)</f>
        <v>100</v>
      </c>
      <c r="J188" s="1">
        <f>10*RANK(F188,F$188:F$192)</f>
        <v>10</v>
      </c>
      <c r="K188" s="1">
        <f>4-COUNTIF(D$176:D$185,"A")</f>
        <v>0</v>
      </c>
      <c r="L188" s="1">
        <f>COUNTIF(D$176:D$185,I$118)</f>
        <v>0</v>
      </c>
      <c r="M188" s="1">
        <f>COUNTIF(D$176:D$185,J$118)</f>
        <v>0</v>
      </c>
      <c r="N188" s="1">
        <f>IF(A160&lt;&gt;"",500,0)</f>
        <v>0</v>
      </c>
      <c r="O188" s="39" t="str">
        <f>IF(A160&lt;&gt;"",UPPER(A160),"")</f>
        <v/>
      </c>
    </row>
    <row r="189" spans="1:18" hidden="1" outlineLevel="1">
      <c r="A189" s="21">
        <f>RANK(B189,B$188:B$192,1)</f>
        <v>2</v>
      </c>
      <c r="B189" s="48">
        <f>SUM(H189:J189)+ROW()/1000</f>
        <v>10110.189</v>
      </c>
      <c r="C189" s="22" t="str">
        <f>B161</f>
        <v>Ecuador</v>
      </c>
      <c r="D189" s="3">
        <f>SUM(G176:G185)</f>
        <v>0</v>
      </c>
      <c r="E189" s="3">
        <f>F189+G189</f>
        <v>0</v>
      </c>
      <c r="F189" s="22">
        <f>SUM(H176:H185)</f>
        <v>0</v>
      </c>
      <c r="G189" s="22">
        <f>SUM(I176:I185)</f>
        <v>0</v>
      </c>
      <c r="H189" s="59">
        <f>10000*RANK(D189,D$188:D$192)-N189</f>
        <v>10000</v>
      </c>
      <c r="I189" s="1">
        <f>100*RANK(E189,E$188:E$192)</f>
        <v>100</v>
      </c>
      <c r="J189" s="1">
        <f>10*RANK(F189,F$188:F$192)</f>
        <v>10</v>
      </c>
      <c r="K189" s="1">
        <f>4-COUNTIF(G$176:G$185,"A")</f>
        <v>0</v>
      </c>
      <c r="L189" s="1">
        <f>COUNTIF(G$176:G$185,I$118)</f>
        <v>0</v>
      </c>
      <c r="M189" s="1">
        <f>COUNTIF(G$176:G$185,J$118)</f>
        <v>0</v>
      </c>
      <c r="N189" s="1">
        <f>IF(A161&lt;&gt;"",500,0)</f>
        <v>0</v>
      </c>
      <c r="O189" s="39" t="str">
        <f>IF(A161&lt;&gt;"",UPPER(A161),"")</f>
        <v/>
      </c>
    </row>
    <row r="190" spans="1:18" hidden="1" outlineLevel="1">
      <c r="A190" s="21">
        <f>RANK(B190,B$188:B$192,1)</f>
        <v>3</v>
      </c>
      <c r="B190" s="48">
        <f>SUM(H190:J190)+ROW()/1000</f>
        <v>10110.19</v>
      </c>
      <c r="C190" s="22" t="str">
        <f>B162</f>
        <v>Frankreich</v>
      </c>
      <c r="D190" s="3">
        <f>SUM(J176:J185)</f>
        <v>0</v>
      </c>
      <c r="E190" s="3">
        <f>F190+G190</f>
        <v>0</v>
      </c>
      <c r="F190" s="22">
        <f>SUM(K176:K185)</f>
        <v>0</v>
      </c>
      <c r="G190" s="22">
        <f>SUM(L176:L185)</f>
        <v>0</v>
      </c>
      <c r="H190" s="59">
        <f>10000*RANK(D190,D$188:D$192)-N190</f>
        <v>10000</v>
      </c>
      <c r="I190" s="1">
        <f>100*RANK(E190,E$188:E$192)</f>
        <v>100</v>
      </c>
      <c r="J190" s="1">
        <f>10*RANK(F190,F$188:F$192)</f>
        <v>10</v>
      </c>
      <c r="K190" s="1">
        <f>4-COUNTIF(J$176:J$185,"A")</f>
        <v>0</v>
      </c>
      <c r="L190" s="1">
        <f>COUNTIF(J$176:J$185,I$118)</f>
        <v>0</v>
      </c>
      <c r="M190" s="1">
        <f>COUNTIF(J$176:J$185,J$118)</f>
        <v>0</v>
      </c>
      <c r="N190" s="1">
        <f>IF(A162&lt;&gt;"",500,0)</f>
        <v>0</v>
      </c>
      <c r="O190" s="39" t="str">
        <f>IF(A162&lt;&gt;"",UPPER(A162),"")</f>
        <v/>
      </c>
    </row>
    <row r="191" spans="1:18" hidden="1" outlineLevel="1">
      <c r="A191" s="21">
        <f>RANK(B191,B$188:B$192,1)</f>
        <v>4</v>
      </c>
      <c r="B191" s="48">
        <f>SUM(H191:J191)+ROW()/1000</f>
        <v>10110.191000000001</v>
      </c>
      <c r="C191" s="22" t="str">
        <f>B163</f>
        <v>Honduras</v>
      </c>
      <c r="D191" s="3">
        <f>SUM(M176:M185)</f>
        <v>0</v>
      </c>
      <c r="E191" s="3">
        <f>F191+G191</f>
        <v>0</v>
      </c>
      <c r="F191" s="22">
        <f>SUM(N176:N185)</f>
        <v>0</v>
      </c>
      <c r="G191" s="22">
        <f>SUM(O176:O185)</f>
        <v>0</v>
      </c>
      <c r="H191" s="59">
        <f>10000*RANK(D191,D$188:D$192)-N191</f>
        <v>10000</v>
      </c>
      <c r="I191" s="1">
        <f>100*RANK(E191,E$188:E$192)</f>
        <v>100</v>
      </c>
      <c r="J191" s="1">
        <f>10*RANK(F191,F$188:F$192)</f>
        <v>10</v>
      </c>
      <c r="K191" s="1">
        <f>4-COUNTIF(M$176:M$185,"A")</f>
        <v>0</v>
      </c>
      <c r="L191" s="1">
        <f>COUNTIF(M$176:M$185,I$118)</f>
        <v>0</v>
      </c>
      <c r="M191" s="1">
        <f>COUNTIF(M$176:M$185,J$118)</f>
        <v>0</v>
      </c>
      <c r="N191" s="1">
        <f>IF(A163&lt;&gt;"",500,0)</f>
        <v>0</v>
      </c>
      <c r="O191" s="39" t="str">
        <f>IF(A163&lt;&gt;"",UPPER(A163),"")</f>
        <v/>
      </c>
    </row>
    <row r="192" spans="1:18" hidden="1" outlineLevel="1">
      <c r="A192" s="21">
        <f>RANK(B192,B$188:B$192,1)</f>
        <v>5</v>
      </c>
      <c r="B192" s="48">
        <f>SUM(H192:J192)+ROW()/1000</f>
        <v>10510.191999999999</v>
      </c>
      <c r="C192" s="22" t="str">
        <f>B169</f>
        <v>#######</v>
      </c>
      <c r="D192" s="3">
        <v>0</v>
      </c>
      <c r="E192" s="3">
        <f>F192+G192</f>
        <v>-100</v>
      </c>
      <c r="F192" s="22">
        <v>0</v>
      </c>
      <c r="G192" s="22">
        <v>-100</v>
      </c>
      <c r="H192" s="59">
        <f>10000*RANK(D192,D$188:D$192)-N192</f>
        <v>10000</v>
      </c>
      <c r="I192" s="1">
        <f>100*RANK(E192,E$188:E$192)</f>
        <v>500</v>
      </c>
      <c r="J192" s="1">
        <f>10*RANK(F192,F$188:F$192)</f>
        <v>10</v>
      </c>
      <c r="K192" s="1">
        <f>4-COUNTIF(P$176:P$185,"A")</f>
        <v>0</v>
      </c>
      <c r="L192" s="1">
        <f>COUNTIF(P$176:P$185,I$118)</f>
        <v>0</v>
      </c>
      <c r="M192" s="1">
        <f>COUNTIF(P$176:P$185,J$118)</f>
        <v>0</v>
      </c>
      <c r="N192" s="1">
        <f>IF(A164&lt;&gt;"",500,0)</f>
        <v>0</v>
      </c>
      <c r="O192" s="39" t="str">
        <f>IF(A164&lt;&gt;"",UPPER(A164),"")</f>
        <v/>
      </c>
    </row>
    <row r="193" spans="1:54" hidden="1" outlineLevel="1">
      <c r="B193" s="48"/>
    </row>
    <row r="194" spans="1:54" hidden="1" outlineLevel="1">
      <c r="B194" s="48"/>
      <c r="C194" s="14"/>
      <c r="D194" s="14"/>
      <c r="E194" s="14"/>
      <c r="F194" s="14"/>
      <c r="G194" s="14"/>
    </row>
    <row r="195" spans="1:54" ht="15" collapsed="1">
      <c r="B195" s="48"/>
      <c r="C195" s="14"/>
      <c r="D195" s="14"/>
      <c r="E195" s="14"/>
      <c r="F195" s="14"/>
      <c r="G195" s="14"/>
      <c r="I195" s="45">
        <f>I1</f>
        <v>3</v>
      </c>
      <c r="J195" s="45">
        <f>J1</f>
        <v>1</v>
      </c>
      <c r="AS195" s="40" t="str">
        <f>IF(AND(P165=12,SUM(AS160:AS162)&lt;&gt;6),"UEFA / Fairplay / Los ?","")</f>
        <v/>
      </c>
    </row>
    <row r="196" spans="1:54" ht="15" collapsed="1" thickBot="1">
      <c r="B196" s="48"/>
      <c r="C196" s="14"/>
      <c r="D196" s="14"/>
      <c r="E196" s="14"/>
      <c r="F196" s="14"/>
      <c r="G196" s="14"/>
      <c r="I196" s="45"/>
      <c r="J196" s="45"/>
    </row>
    <row r="197" spans="1:54" ht="18">
      <c r="B197" s="47" t="s">
        <v>26</v>
      </c>
      <c r="C197" s="1">
        <v>1</v>
      </c>
      <c r="D197" s="46" t="str">
        <f>B199</f>
        <v>Argentinien</v>
      </c>
      <c r="E197" s="46" t="str">
        <f>B200</f>
        <v>Bosnien-H.</v>
      </c>
      <c r="F197" s="69"/>
      <c r="G197" s="70"/>
      <c r="H197" s="245">
        <v>41805</v>
      </c>
      <c r="I197" s="1">
        <f>IF(F197="",0,IF(F197=G197,J$118,IF(F197&gt;G197,I$118,0)))</f>
        <v>0</v>
      </c>
      <c r="J197" s="1">
        <f>IF(G197="",0,IF(F197=G197,J$118,IF(F197&lt;G197,I$118,0)))</f>
        <v>0</v>
      </c>
      <c r="N197" s="7"/>
      <c r="O197" s="8"/>
      <c r="P197" s="9" t="s">
        <v>1</v>
      </c>
      <c r="Q197" s="9" t="s">
        <v>2</v>
      </c>
      <c r="R197" s="10" t="s">
        <v>3</v>
      </c>
      <c r="S197" s="11" t="s">
        <v>4</v>
      </c>
      <c r="T197" s="12" t="s">
        <v>5</v>
      </c>
      <c r="U197" s="10" t="s">
        <v>6</v>
      </c>
      <c r="V197" s="9" t="s">
        <v>7</v>
      </c>
      <c r="W197" s="13" t="s">
        <v>8</v>
      </c>
      <c r="Y197" s="14"/>
      <c r="Z197"/>
      <c r="AA197"/>
      <c r="AB197" s="15" t="s">
        <v>9</v>
      </c>
      <c r="AF197"/>
      <c r="AG197"/>
      <c r="AS197" s="7"/>
      <c r="AT197" s="8"/>
      <c r="AU197" s="9" t="s">
        <v>1</v>
      </c>
      <c r="AV197" s="9" t="s">
        <v>2</v>
      </c>
      <c r="AW197" s="10" t="s">
        <v>3</v>
      </c>
      <c r="AX197" s="11" t="s">
        <v>4</v>
      </c>
      <c r="AY197" s="12" t="s">
        <v>5</v>
      </c>
      <c r="AZ197" s="64" t="s">
        <v>6</v>
      </c>
      <c r="BA197" s="64" t="s">
        <v>7</v>
      </c>
      <c r="BB197" s="65" t="s">
        <v>8</v>
      </c>
    </row>
    <row r="198" spans="1:54">
      <c r="B198" s="48"/>
      <c r="C198" s="1">
        <v>2</v>
      </c>
      <c r="D198" s="46" t="str">
        <f>B201</f>
        <v>Iran</v>
      </c>
      <c r="E198" s="46" t="str">
        <f>B202</f>
        <v>Nigeria</v>
      </c>
      <c r="F198" s="69"/>
      <c r="G198" s="70"/>
      <c r="H198" s="246">
        <v>41806.75</v>
      </c>
      <c r="I198" s="1">
        <f>IF(F198="",0,IF(F198=G198,J$118,IF(F198&gt;G198,I$118,0)))</f>
        <v>0</v>
      </c>
      <c r="J198" s="1">
        <f>IF(G198="",0,IF(F198=G198,J$118,IF(F198&lt;G198,I$118,0)))</f>
        <v>0</v>
      </c>
      <c r="N198" s="16"/>
      <c r="O198" s="17"/>
      <c r="P198" s="14"/>
      <c r="Q198" s="17"/>
      <c r="R198" s="18"/>
      <c r="S198" s="18"/>
      <c r="T198" s="19"/>
      <c r="W198" s="20"/>
      <c r="Y198" s="14"/>
      <c r="Z198"/>
      <c r="AA198"/>
      <c r="AF198"/>
      <c r="AG198"/>
      <c r="AH198" s="21" t="s">
        <v>10</v>
      </c>
      <c r="AN198" s="21" t="s">
        <v>11</v>
      </c>
      <c r="AS198" s="16"/>
      <c r="AT198" s="17"/>
      <c r="AU198" s="14"/>
      <c r="AV198" s="17"/>
      <c r="AW198" s="18"/>
      <c r="AX198" s="18"/>
      <c r="AY198" s="19"/>
      <c r="BB198" s="66"/>
    </row>
    <row r="199" spans="1:54" ht="15">
      <c r="A199" s="71"/>
      <c r="B199" s="72" t="s">
        <v>36</v>
      </c>
      <c r="C199" s="1">
        <v>3</v>
      </c>
      <c r="D199" s="46" t="str">
        <f>B199</f>
        <v>Argentinien</v>
      </c>
      <c r="E199" s="46" t="str">
        <f>B201</f>
        <v>Iran</v>
      </c>
      <c r="F199" s="69"/>
      <c r="G199" s="70"/>
      <c r="H199" s="246">
        <v>41811.75</v>
      </c>
      <c r="I199" s="1">
        <f>IF(F208="",0,IF(F208=G208,J$118,IF(F208&gt;G208,I$118,0)))</f>
        <v>0</v>
      </c>
      <c r="J199" s="1">
        <f>IF(G208="",0,IF(F208=G208,J$118,IF(F208&lt;G208,I$118,0)))</f>
        <v>0</v>
      </c>
      <c r="K199" s="1">
        <v>1</v>
      </c>
      <c r="L199" s="1">
        <f>IF(OR(Q$199+Q$200+Q$201=3*Q$199,Q$202+Q$200+Q$201=3*Q$202,AE199+AK199+AQ199=0),K199,AE199+AK199+AQ199)</f>
        <v>1</v>
      </c>
      <c r="M199" s="22">
        <f>INT(VLOOKUP($K199,$A$227:$G$231,2,0))</f>
        <v>10110</v>
      </c>
      <c r="N199" s="23">
        <f>1</f>
        <v>1</v>
      </c>
      <c r="O199" s="24" t="str">
        <f>VLOOKUP($K199,$A$227:$G$231,3,0)</f>
        <v>Argentinien</v>
      </c>
      <c r="P199" s="22">
        <f>VLOOKUP($K199,$A$227:$K$231,11,0)</f>
        <v>0</v>
      </c>
      <c r="Q199" s="25">
        <f>VLOOKUP($K199,$A$227:$G$231,4,0)</f>
        <v>0</v>
      </c>
      <c r="R199" s="18">
        <f>VLOOKUP($K199,$A$227:$G$231,5,0)</f>
        <v>0</v>
      </c>
      <c r="S199" s="18">
        <f>VLOOKUP($K199,$A$227:$G$231,6,0)</f>
        <v>0</v>
      </c>
      <c r="T199" s="19">
        <f>VLOOKUP($K199,$A$227:$G$231,7,0)</f>
        <v>0</v>
      </c>
      <c r="U199" s="14">
        <f>VLOOKUP($K199,$A$227:$M$231,12,0)</f>
        <v>0</v>
      </c>
      <c r="V199" s="1">
        <f>VLOOKUP($K199,$A$227:$M$231,13,0)</f>
        <v>0</v>
      </c>
      <c r="W199" s="20">
        <f>P199-U199-V199</f>
        <v>0</v>
      </c>
      <c r="X199" s="25" t="str">
        <f>VLOOKUP($K199,$A$227:$G$231,4,0)&amp;" "&amp;VLOOKUP($K199,$A$227:$P$231,15,0)</f>
        <v xml:space="preserve">0 </v>
      </c>
      <c r="Y199" s="1">
        <f>INT(VLOOKUP($K199,$A$227:$H$231,8,0))</f>
        <v>10000</v>
      </c>
      <c r="Z199" s="1">
        <f>IF(AND(Y$199=Y$200,OR(AND(D197=O$199,E197=O$200),AND(D197=O$200,E197=O$199))),1,0)</f>
        <v>1</v>
      </c>
      <c r="AA199" s="1" t="str">
        <f t="shared" ref="AA199:AA204" si="60">VLOOKUP($Z199,$C$197:$G$202,2,0)</f>
        <v>Argentinien</v>
      </c>
      <c r="AB199" s="1" t="str">
        <f t="shared" ref="AB199:AB204" si="61">VLOOKUP($Z199,$C$197:$G$202,3,0)</f>
        <v>Bosnien-H.</v>
      </c>
      <c r="AC199" s="1">
        <f t="shared" ref="AC199:AC204" si="62">VLOOKUP($Z199,$C$197:$G$202,4,0)</f>
        <v>0</v>
      </c>
      <c r="AD199" s="1">
        <f t="shared" ref="AD199:AD204" si="63">VLOOKUP($Z199,$C$197:$G$202,5,0)</f>
        <v>0</v>
      </c>
      <c r="AE199" s="1">
        <f>IF(ISERROR(AC206),0,IF(AC206=0,0,IF(OR(AND(AA206=O199,AC206&gt;0),AND(AB206=O199,AC206&lt;0)),1,2)))</f>
        <v>0</v>
      </c>
      <c r="AF199" s="1">
        <f>IF(AND($Y$200=$Y$201,OR(AND($D197=$O$200,$E197=$O$201),AND($D197=$O$201,$E197=$O$200))),1,0)</f>
        <v>0</v>
      </c>
      <c r="AG199" s="1" t="e">
        <f t="shared" ref="AG199:AG204" si="64">VLOOKUP($AF199,$C$197:$G$202,2,0)</f>
        <v>#N/A</v>
      </c>
      <c r="AH199" s="1" t="e">
        <f t="shared" ref="AH199:AH204" si="65">VLOOKUP($AF199,$C$197:$G$202,3,0)</f>
        <v>#N/A</v>
      </c>
      <c r="AI199" s="1" t="e">
        <f t="shared" ref="AI199:AI204" si="66">VLOOKUP($AF199,$C$197:$G$202,4,0)</f>
        <v>#N/A</v>
      </c>
      <c r="AJ199" s="1" t="e">
        <f t="shared" ref="AJ199:AJ204" si="67">VLOOKUP($AF199,$C$197:$G$202,5,0)</f>
        <v>#N/A</v>
      </c>
      <c r="AK199"/>
      <c r="AL199" s="1">
        <f>IF(AND($Y$201=$Y$202,OR(AND($D197=$O$201,$E197=$O$202),AND($D197=$O$202,$E197=$O$201))),1,0)</f>
        <v>0</v>
      </c>
      <c r="AM199" s="1" t="e">
        <f t="shared" ref="AM199:AM204" si="68">VLOOKUP($AL199,$C$197:$G$202,2,0)</f>
        <v>#N/A</v>
      </c>
      <c r="AN199" s="1" t="e">
        <f t="shared" ref="AN199:AN204" si="69">VLOOKUP($AL199,$C$197:$G$202,3,0)</f>
        <v>#N/A</v>
      </c>
      <c r="AO199" s="1" t="e">
        <f t="shared" ref="AO199:AO204" si="70">VLOOKUP($AL199,$C$197:$G$202,4,0)</f>
        <v>#N/A</v>
      </c>
      <c r="AP199" s="1" t="e">
        <f t="shared" ref="AP199:AP204" si="71">VLOOKUP($AL199,$C$197:$G$202,5,0)</f>
        <v>#N/A</v>
      </c>
      <c r="AS199" s="23">
        <v>1</v>
      </c>
      <c r="AT199" s="24" t="str">
        <f>VLOOKUP($K199,$L$199:$W$202,4,0)</f>
        <v>Argentinien</v>
      </c>
      <c r="AU199" s="22">
        <f>VLOOKUP($K199,$L$199:$W$202,5,0)</f>
        <v>0</v>
      </c>
      <c r="AV199" s="25" t="str">
        <f>VLOOKUP($K199,$L$199:$X$202,13,0)</f>
        <v xml:space="preserve">0 </v>
      </c>
      <c r="AW199" s="18">
        <f>VLOOKUP($K199,$L$199:$W$202,7,0)</f>
        <v>0</v>
      </c>
      <c r="AX199" s="18">
        <f>VLOOKUP($K199,$L$199:$W$202,8,0)</f>
        <v>0</v>
      </c>
      <c r="AY199" s="19">
        <f>VLOOKUP($K199,$L$199:$W$202,9,0)</f>
        <v>0</v>
      </c>
      <c r="AZ199" s="51">
        <f>VLOOKUP($K199,$L$199:$W$202,10,0)</f>
        <v>0</v>
      </c>
      <c r="BA199" s="22">
        <f>VLOOKUP($K199,$L$199:$W$202,11,0)</f>
        <v>0</v>
      </c>
      <c r="BB199" s="66">
        <f>VLOOKUP($K199,$L$199:$W$202,12,0)</f>
        <v>0</v>
      </c>
    </row>
    <row r="200" spans="1:54" ht="15">
      <c r="A200" s="71"/>
      <c r="B200" s="72" t="s">
        <v>437</v>
      </c>
      <c r="C200" s="1">
        <v>4</v>
      </c>
      <c r="D200" s="46" t="str">
        <f>B200</f>
        <v>Bosnien-H.</v>
      </c>
      <c r="E200" s="46" t="str">
        <f>B202</f>
        <v>Nigeria</v>
      </c>
      <c r="F200" s="69"/>
      <c r="G200" s="70"/>
      <c r="H200" s="245">
        <v>41811</v>
      </c>
      <c r="I200" s="1">
        <f>IF(F199="",0,IF(F199=G199,J$118,IF(F199&gt;G199,I$118,0)))</f>
        <v>0</v>
      </c>
      <c r="J200" s="1">
        <f>IF(G199="",0,IF(F199=G199,J$118,IF(F199&lt;G199,I$118,0)))</f>
        <v>0</v>
      </c>
      <c r="K200" s="1">
        <v>2</v>
      </c>
      <c r="L200" s="1">
        <f>IF(OR(Q$199+Q$200+Q$201=3*Q$199,Q$202+Q$200+Q$201=3*Q$202,AE200+AK200+AQ200=0),K200,AE200+AK200+AQ200)</f>
        <v>2</v>
      </c>
      <c r="M200" s="22">
        <f>INT(VLOOKUP($K200,$A$227:$G$231,2,0))</f>
        <v>10110</v>
      </c>
      <c r="N200" s="23" t="str">
        <f>IF(M200=M199,"",K200)</f>
        <v/>
      </c>
      <c r="O200" s="24" t="str">
        <f>VLOOKUP($K200,$A$227:$G$231,3,0)</f>
        <v>Bosnien-H.</v>
      </c>
      <c r="P200" s="22">
        <f>VLOOKUP($K200,$A$227:$K$231,11,0)</f>
        <v>0</v>
      </c>
      <c r="Q200" s="25">
        <f>VLOOKUP($K200,$A$227:$G$231,4,0)</f>
        <v>0</v>
      </c>
      <c r="R200" s="18">
        <f>VLOOKUP($K200,$A$227:$G$231,5,0)</f>
        <v>0</v>
      </c>
      <c r="S200" s="18">
        <f>VLOOKUP($K200,$A$227:$G$231,6,0)</f>
        <v>0</v>
      </c>
      <c r="T200" s="19">
        <f>VLOOKUP($K200,$A$227:$G$231,7,0)</f>
        <v>0</v>
      </c>
      <c r="U200" s="14">
        <f>VLOOKUP($K200,$A$227:$M$231,12,0)</f>
        <v>0</v>
      </c>
      <c r="V200" s="1">
        <f>VLOOKUP($K200,$A$227:$M$231,13,0)</f>
        <v>0</v>
      </c>
      <c r="W200" s="20">
        <f>P200-U200-V200</f>
        <v>0</v>
      </c>
      <c r="X200" s="25" t="str">
        <f>VLOOKUP($K200,$A$227:$G$231,4,0)&amp;" "&amp;VLOOKUP($K200,$A$227:$P$231,15,0)</f>
        <v xml:space="preserve">0 </v>
      </c>
      <c r="Y200" s="1">
        <f>INT(VLOOKUP($K200,$A$227:$H$231,8,0))</f>
        <v>10000</v>
      </c>
      <c r="Z200" s="1">
        <f>IF(AND(Y$199=Y$200,OR(AND(D198=O$199,E198=O$200),AND(D198=O$200,E198=O$199))),2,0)</f>
        <v>0</v>
      </c>
      <c r="AA200" s="1" t="e">
        <f t="shared" si="60"/>
        <v>#N/A</v>
      </c>
      <c r="AB200" s="1" t="e">
        <f t="shared" si="61"/>
        <v>#N/A</v>
      </c>
      <c r="AC200" s="1" t="e">
        <f t="shared" si="62"/>
        <v>#N/A</v>
      </c>
      <c r="AD200" s="1" t="e">
        <f t="shared" si="63"/>
        <v>#N/A</v>
      </c>
      <c r="AE200" s="1">
        <f>IF(AE199=2,1,IF(AE199=1,2,0))</f>
        <v>0</v>
      </c>
      <c r="AF200" s="1">
        <f>IF(AND(Y$200=Y$201,OR(AND(D198=O$200,E198=O$201),AND(D198=O$201,E198=O$200))),2,0)</f>
        <v>0</v>
      </c>
      <c r="AG200" s="1" t="e">
        <f t="shared" si="64"/>
        <v>#N/A</v>
      </c>
      <c r="AH200" s="1" t="e">
        <f t="shared" si="65"/>
        <v>#N/A</v>
      </c>
      <c r="AI200" s="1" t="e">
        <f t="shared" si="66"/>
        <v>#N/A</v>
      </c>
      <c r="AJ200" s="1" t="e">
        <f t="shared" si="67"/>
        <v>#N/A</v>
      </c>
      <c r="AK200" s="1">
        <f>IF(ISERROR(AI206),0,IF(AI206=0,0,IF(OR(AND(AG206=O200,AI206&gt;0),AND(AH206=O200,AI206&lt;0)),2,3)))</f>
        <v>0</v>
      </c>
      <c r="AL200" s="1">
        <f>IF(AND($Y$201=$Y$202,OR(AND($D198=$O$201,$E198=$O$202),AND($D198=$O$202,$E198=$O$201))),2,0)</f>
        <v>2</v>
      </c>
      <c r="AM200" s="1" t="str">
        <f t="shared" si="68"/>
        <v>Iran</v>
      </c>
      <c r="AN200" s="1" t="str">
        <f t="shared" si="69"/>
        <v>Nigeria</v>
      </c>
      <c r="AO200" s="1">
        <f t="shared" si="70"/>
        <v>0</v>
      </c>
      <c r="AP200" s="1">
        <f t="shared" si="71"/>
        <v>0</v>
      </c>
      <c r="AQ200"/>
      <c r="AR200"/>
      <c r="AS200" s="23" t="str">
        <f>IF(AND(OR(AR206=1,AE200+AK200+AQ200=0),M200=M199),"",2)</f>
        <v/>
      </c>
      <c r="AT200" s="24" t="str">
        <f>VLOOKUP($K200,$L$199:$W$202,4,0)</f>
        <v>Bosnien-H.</v>
      </c>
      <c r="AU200" s="22">
        <f>VLOOKUP($K200,$L$199:$W$202,5,0)</f>
        <v>0</v>
      </c>
      <c r="AV200" s="25" t="str">
        <f>VLOOKUP($K200,$L$199:$X$202,13,0)</f>
        <v xml:space="preserve">0 </v>
      </c>
      <c r="AW200" s="18">
        <f>VLOOKUP($K200,$L$199:$W$202,7,0)</f>
        <v>0</v>
      </c>
      <c r="AX200" s="18">
        <f>VLOOKUP($K200,$L$199:$W$202,8,0)</f>
        <v>0</v>
      </c>
      <c r="AY200" s="19">
        <f>VLOOKUP($K200,$L$199:$W$202,9,0)</f>
        <v>0</v>
      </c>
      <c r="AZ200" s="51">
        <f>VLOOKUP($K200,$L$199:$W$202,10,0)</f>
        <v>0</v>
      </c>
      <c r="BA200" s="22">
        <f>VLOOKUP($K200,$L$199:$W$202,11,0)</f>
        <v>0</v>
      </c>
      <c r="BB200" s="66">
        <f>VLOOKUP($K200,$L$199:$W$202,12,0)</f>
        <v>0</v>
      </c>
    </row>
    <row r="201" spans="1:54" ht="15">
      <c r="A201" s="71"/>
      <c r="B201" s="72" t="s">
        <v>39</v>
      </c>
      <c r="C201" s="1">
        <v>5</v>
      </c>
      <c r="D201" s="46" t="str">
        <f>B199</f>
        <v>Argentinien</v>
      </c>
      <c r="E201" s="46" t="str">
        <f>B202</f>
        <v>Nigeria</v>
      </c>
      <c r="F201" s="69"/>
      <c r="G201" s="70"/>
      <c r="H201" s="246">
        <v>41815.75</v>
      </c>
      <c r="I201" s="1">
        <f>IF(F209="",0,IF(F209=G209,J$118,IF(F209&gt;G209,I$118,0)))</f>
        <v>0</v>
      </c>
      <c r="J201" s="1">
        <f>IF(G209="",0,IF(F209=G209,J$118,IF(F209&lt;G209,I$118,0)))</f>
        <v>0</v>
      </c>
      <c r="K201" s="1">
        <v>3</v>
      </c>
      <c r="L201" s="1">
        <f>IF(OR(Q$199+Q$200+Q$201=3*Q$199,Q$202+Q$200+Q$201=3*Q$202,AE201+AK201+AQ201=0),K201,AE201+AK201+AQ201)</f>
        <v>3</v>
      </c>
      <c r="M201" s="22">
        <f>INT(VLOOKUP($K201,$A$227:$G$231,2,0))</f>
        <v>10110</v>
      </c>
      <c r="N201" s="23" t="str">
        <f>IF(M201=M200,"",K201)</f>
        <v/>
      </c>
      <c r="O201" s="24" t="str">
        <f>VLOOKUP($K201,$A$227:$G$231,3,0)</f>
        <v>Iran</v>
      </c>
      <c r="P201" s="22">
        <f>VLOOKUP($K201,$A$227:$K$231,11,0)</f>
        <v>0</v>
      </c>
      <c r="Q201" s="25">
        <f>VLOOKUP($K201,$A$227:$G$231,4,0)</f>
        <v>0</v>
      </c>
      <c r="R201" s="18">
        <f>VLOOKUP($K201,$A$227:$G$231,5,0)</f>
        <v>0</v>
      </c>
      <c r="S201" s="18">
        <f>VLOOKUP($K201,$A$227:$G$231,6,0)</f>
        <v>0</v>
      </c>
      <c r="T201" s="19">
        <f>VLOOKUP($K201,$A$227:$G$231,7,0)</f>
        <v>0</v>
      </c>
      <c r="U201" s="14">
        <f>VLOOKUP($K201,$A$227:$M$231,12,0)</f>
        <v>0</v>
      </c>
      <c r="V201" s="1">
        <f>VLOOKUP($K201,$A$227:$M$231,13,0)</f>
        <v>0</v>
      </c>
      <c r="W201" s="20">
        <f>P201-U201-V201</f>
        <v>0</v>
      </c>
      <c r="X201" s="25" t="str">
        <f>VLOOKUP($K201,$A$227:$G$231,4,0)&amp;" "&amp;VLOOKUP($K201,$A$227:$P$231,15,0)</f>
        <v xml:space="preserve">0 </v>
      </c>
      <c r="Y201" s="1">
        <f>INT(VLOOKUP($K201,$A$227:$H$231,8,0))</f>
        <v>10000</v>
      </c>
      <c r="Z201" s="1">
        <f>IF(AND(Y$199=Y$200,OR(AND(D199=O$199,E199=O$200),AND(D199=O$200,E199=O$199))),3,0)</f>
        <v>0</v>
      </c>
      <c r="AA201" s="1" t="e">
        <f t="shared" si="60"/>
        <v>#N/A</v>
      </c>
      <c r="AB201" s="1" t="e">
        <f t="shared" si="61"/>
        <v>#N/A</v>
      </c>
      <c r="AC201" s="1" t="e">
        <f t="shared" si="62"/>
        <v>#N/A</v>
      </c>
      <c r="AD201" s="1" t="e">
        <f t="shared" si="63"/>
        <v>#N/A</v>
      </c>
      <c r="AF201" s="1">
        <f>IF(AND(Y$200=Y$201,OR(AND(D199=O$200,E199=O$201),AND(D199=O$201,E199=O$200))),3,0)</f>
        <v>0</v>
      </c>
      <c r="AG201" s="1" t="e">
        <f t="shared" si="64"/>
        <v>#N/A</v>
      </c>
      <c r="AH201" s="1" t="e">
        <f t="shared" si="65"/>
        <v>#N/A</v>
      </c>
      <c r="AI201" s="1" t="e">
        <f t="shared" si="66"/>
        <v>#N/A</v>
      </c>
      <c r="AJ201" s="1" t="e">
        <f t="shared" si="67"/>
        <v>#N/A</v>
      </c>
      <c r="AK201" s="1">
        <f>IF(AK200=3,2,IF(AK200=2,3,0))</f>
        <v>0</v>
      </c>
      <c r="AL201" s="1">
        <f>IF(AND($Y$201=$Y$202,OR(AND($D199=$O$201,$E199=$O$202),AND($D199=$O$202,$E199=$O$201))),3,0)</f>
        <v>0</v>
      </c>
      <c r="AM201" s="1" t="e">
        <f t="shared" si="68"/>
        <v>#N/A</v>
      </c>
      <c r="AN201" s="1" t="e">
        <f t="shared" si="69"/>
        <v>#N/A</v>
      </c>
      <c r="AO201" s="1" t="e">
        <f t="shared" si="70"/>
        <v>#N/A</v>
      </c>
      <c r="AP201" s="1" t="e">
        <f t="shared" si="71"/>
        <v>#N/A</v>
      </c>
      <c r="AQ201" s="1">
        <f>IF(ISERROR(AO206),0,IF(AO206=0,0,IF(OR(AND(AM206=O201,AO206&gt;0),AND(AN206=O201,AO206&lt;0)),3,4)))</f>
        <v>0</v>
      </c>
      <c r="AS201" s="23" t="str">
        <f>IF(AND(OR(AR207=1,AE201+AK201+AQ201=0),M201=M200),"",3)</f>
        <v/>
      </c>
      <c r="AT201" s="24" t="str">
        <f>VLOOKUP($K201,$L$199:$W$202,4,0)</f>
        <v>Iran</v>
      </c>
      <c r="AU201" s="22">
        <f>VLOOKUP($K201,$L$199:$W$202,5,0)</f>
        <v>0</v>
      </c>
      <c r="AV201" s="25" t="str">
        <f>VLOOKUP($K201,$L$199:$X$202,13,0)</f>
        <v xml:space="preserve">0 </v>
      </c>
      <c r="AW201" s="18">
        <f>VLOOKUP($K201,$L$199:$W$202,7,0)</f>
        <v>0</v>
      </c>
      <c r="AX201" s="18">
        <f>VLOOKUP($K201,$L$199:$W$202,8,0)</f>
        <v>0</v>
      </c>
      <c r="AY201" s="19">
        <f>VLOOKUP($K201,$L$199:$W$202,9,0)</f>
        <v>0</v>
      </c>
      <c r="AZ201" s="51">
        <f>VLOOKUP($K201,$L$199:$W$202,10,0)</f>
        <v>0</v>
      </c>
      <c r="BA201" s="22">
        <f>VLOOKUP($K201,$L$199:$W$202,11,0)</f>
        <v>0</v>
      </c>
      <c r="BB201" s="66">
        <f>VLOOKUP($K201,$L$199:$W$202,12,0)</f>
        <v>0</v>
      </c>
    </row>
    <row r="202" spans="1:54" ht="15.75" thickBot="1">
      <c r="A202" s="71"/>
      <c r="B202" s="72" t="s">
        <v>67</v>
      </c>
      <c r="C202" s="1">
        <v>6</v>
      </c>
      <c r="D202" s="46" t="str">
        <f>B200</f>
        <v>Bosnien-H.</v>
      </c>
      <c r="E202" s="46" t="str">
        <f>B201</f>
        <v>Iran</v>
      </c>
      <c r="F202" s="69"/>
      <c r="G202" s="70"/>
      <c r="H202" s="246">
        <v>41815.75</v>
      </c>
      <c r="I202" s="1">
        <f>IF(F200="",0,IF(F200=G200,J$118,IF(F200&gt;G200,I$118,0)))</f>
        <v>0</v>
      </c>
      <c r="J202" s="1">
        <f>IF(G200="",0,IF(F200=G200,J$118,IF(F200&lt;G200,I$118,0)))</f>
        <v>0</v>
      </c>
      <c r="K202" s="1">
        <v>4</v>
      </c>
      <c r="L202" s="1">
        <f>IF(OR(Q$199+Q$200+Q$201=3*Q$199,Q$202+Q$200+Q$201=3*Q$202,AE202+AK202+AQ202=0),K202,AE202+AK202+AQ202)</f>
        <v>4</v>
      </c>
      <c r="M202" s="22">
        <f>INT(VLOOKUP($K202,$A$227:$G$231,2,0))</f>
        <v>10110</v>
      </c>
      <c r="N202" s="26" t="str">
        <f>IF(M202=M201,"",K202)</f>
        <v/>
      </c>
      <c r="O202" s="27" t="str">
        <f>VLOOKUP($K202,$A$227:$G$231,3,0)</f>
        <v>Nigeria</v>
      </c>
      <c r="P202" s="28">
        <f>VLOOKUP($K202,$A$227:$K$231,11,0)</f>
        <v>0</v>
      </c>
      <c r="Q202" s="25">
        <f>VLOOKUP($K202,$A$227:$G$231,4,0)</f>
        <v>0</v>
      </c>
      <c r="R202" s="30">
        <f>VLOOKUP($K202,$A$227:$G$231,5,0)</f>
        <v>0</v>
      </c>
      <c r="S202" s="30">
        <f>VLOOKUP($K202,$A$227:$G$231,6,0)</f>
        <v>0</v>
      </c>
      <c r="T202" s="31">
        <f>VLOOKUP($K202,$A$227:$G$231,7,0)</f>
        <v>0</v>
      </c>
      <c r="U202" s="32">
        <f>VLOOKUP($K202,$A$227:$M$231,12,0)</f>
        <v>0</v>
      </c>
      <c r="V202" s="33">
        <f>VLOOKUP($K202,$A$227:$M$231,13,0)</f>
        <v>0</v>
      </c>
      <c r="W202" s="34">
        <f>P202-U202-V202</f>
        <v>0</v>
      </c>
      <c r="X202" s="25" t="str">
        <f>VLOOKUP($K202,$A$227:$G$231,4,0)&amp;" "&amp;VLOOKUP($K202,$A$227:$P$231,15,0)</f>
        <v xml:space="preserve">0 </v>
      </c>
      <c r="Y202" s="1">
        <f>INT(VLOOKUP($K202,$A$227:$H$231,8,0))</f>
        <v>10000</v>
      </c>
      <c r="Z202" s="1">
        <f>IF(AND(Y$199=Y$200,OR(AND(D200=O$199,E200=O$200),AND(D200=O$200,E200=O$199))),4,0)</f>
        <v>0</v>
      </c>
      <c r="AA202" s="1" t="e">
        <f t="shared" si="60"/>
        <v>#N/A</v>
      </c>
      <c r="AB202" s="1" t="e">
        <f t="shared" si="61"/>
        <v>#N/A</v>
      </c>
      <c r="AC202" s="1" t="e">
        <f t="shared" si="62"/>
        <v>#N/A</v>
      </c>
      <c r="AD202" s="1" t="e">
        <f t="shared" si="63"/>
        <v>#N/A</v>
      </c>
      <c r="AF202" s="1">
        <f>IF(AND(Y$200=Y$201,OR(AND(D200=O$200,E200=O$201),AND(D200=O$201,E200=O$200))),4,0)</f>
        <v>0</v>
      </c>
      <c r="AG202" s="1" t="e">
        <f t="shared" si="64"/>
        <v>#N/A</v>
      </c>
      <c r="AH202" s="1" t="e">
        <f t="shared" si="65"/>
        <v>#N/A</v>
      </c>
      <c r="AI202" s="1" t="e">
        <f t="shared" si="66"/>
        <v>#N/A</v>
      </c>
      <c r="AJ202" s="1" t="e">
        <f t="shared" si="67"/>
        <v>#N/A</v>
      </c>
      <c r="AL202" s="1">
        <f>IF(AND($Y$201=$Y$202,OR(AND($D200=$O$201,$E200=$O$202),AND($D200=$O$202,$E200=$O$201))),4,0)</f>
        <v>0</v>
      </c>
      <c r="AM202" s="1" t="e">
        <f t="shared" si="68"/>
        <v>#N/A</v>
      </c>
      <c r="AN202" s="1" t="e">
        <f t="shared" si="69"/>
        <v>#N/A</v>
      </c>
      <c r="AO202" s="1" t="e">
        <f t="shared" si="70"/>
        <v>#N/A</v>
      </c>
      <c r="AP202" s="1" t="e">
        <f t="shared" si="71"/>
        <v>#N/A</v>
      </c>
      <c r="AQ202" s="1">
        <f>IF(AQ201=4,3,IF(AQ201=3,4,0))</f>
        <v>0</v>
      </c>
      <c r="AS202" s="26" t="str">
        <f>IF(AND(OR(AR208=1,AE202+AK202+AQ202=0),M202=M201),"",4)</f>
        <v/>
      </c>
      <c r="AT202" s="27" t="str">
        <f>VLOOKUP($K202,$L$199:$W$202,4,0)</f>
        <v>Nigeria</v>
      </c>
      <c r="AU202" s="35">
        <f>VLOOKUP($K202,$L$199:$W$202,5,0)</f>
        <v>0</v>
      </c>
      <c r="AV202" s="29" t="str">
        <f>VLOOKUP($K202,$L$199:$X$202,13,0)</f>
        <v xml:space="preserve">0 </v>
      </c>
      <c r="AW202" s="30">
        <f>VLOOKUP($K202,$L$199:$W$202,7,0)</f>
        <v>0</v>
      </c>
      <c r="AX202" s="30">
        <f>VLOOKUP($K202,$L$199:$W$202,8,0)</f>
        <v>0</v>
      </c>
      <c r="AY202" s="31">
        <f>VLOOKUP($K202,$L$199:$W$202,9,0)</f>
        <v>0</v>
      </c>
      <c r="AZ202" s="67">
        <f>VLOOKUP($K202,$L$199:$W$202,10,0)</f>
        <v>0</v>
      </c>
      <c r="BA202" s="35">
        <f>VLOOKUP($K202,$L$199:$W$202,11,0)</f>
        <v>0</v>
      </c>
      <c r="BB202" s="68">
        <f>VLOOKUP($K202,$L$199:$W$202,12,0)</f>
        <v>0</v>
      </c>
    </row>
    <row r="203" spans="1:54" ht="15" hidden="1" outlineLevel="1">
      <c r="B203" s="48"/>
      <c r="D203" s="14"/>
      <c r="E203" s="14"/>
      <c r="F203" s="14"/>
      <c r="G203" s="14"/>
      <c r="I203" s="1">
        <f>IF(F201="",0,IF(F201=G201,J$118,IF(F201&gt;G201,I$118,0)))</f>
        <v>0</v>
      </c>
      <c r="J203" s="1">
        <f>IF(G201="",0,IF(F201=G201,J$118,IF(F201&lt;G201,I$118,0)))</f>
        <v>0</v>
      </c>
      <c r="K203" s="1">
        <v>5</v>
      </c>
      <c r="M203" s="22">
        <f>INT(VLOOKUP($K203,$A$227:$G$231,2,0))</f>
        <v>10510</v>
      </c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Z203" s="1">
        <f>IF(AND(Y$199=Y$200,OR(AND(D201=O$199,E201=O$200),AND(D201=O$200,E201=O$199))),5,0)</f>
        <v>0</v>
      </c>
      <c r="AA203" s="1" t="e">
        <f t="shared" si="60"/>
        <v>#N/A</v>
      </c>
      <c r="AB203" s="1" t="e">
        <f t="shared" si="61"/>
        <v>#N/A</v>
      </c>
      <c r="AC203" s="1" t="e">
        <f t="shared" si="62"/>
        <v>#N/A</v>
      </c>
      <c r="AD203" s="1" t="e">
        <f t="shared" si="63"/>
        <v>#N/A</v>
      </c>
      <c r="AF203" s="1">
        <f>IF(AND(Y$200=Y$201,OR(AND(D201=O$200,E201=O$201),AND(D201=O$201,E201=O$200))),5,0)</f>
        <v>0</v>
      </c>
      <c r="AG203" s="1" t="e">
        <f t="shared" si="64"/>
        <v>#N/A</v>
      </c>
      <c r="AH203" s="1" t="e">
        <f t="shared" si="65"/>
        <v>#N/A</v>
      </c>
      <c r="AI203" s="1" t="e">
        <f t="shared" si="66"/>
        <v>#N/A</v>
      </c>
      <c r="AJ203" s="1" t="e">
        <f t="shared" si="67"/>
        <v>#N/A</v>
      </c>
      <c r="AL203" s="1">
        <f>IF(AND($Y$201=$Y$202,OR(AND($D201=$O$201,$E201=$O$202),AND($D201=$O$202,$E201=$O$201))),5,0)</f>
        <v>0</v>
      </c>
      <c r="AM203" s="1" t="e">
        <f t="shared" si="68"/>
        <v>#N/A</v>
      </c>
      <c r="AN203" s="1" t="e">
        <f t="shared" si="69"/>
        <v>#N/A</v>
      </c>
      <c r="AO203" s="1" t="e">
        <f t="shared" si="70"/>
        <v>#N/A</v>
      </c>
      <c r="AP203" s="1" t="e">
        <f t="shared" si="71"/>
        <v>#N/A</v>
      </c>
      <c r="AS203" s="40" t="str">
        <f>IF(AND(P204=12,SUM(AS199:AS201)&lt;&gt;6),"UEFA / Fairplay / Los !","")</f>
        <v/>
      </c>
      <c r="AT203" s="24"/>
      <c r="AU203" s="22"/>
      <c r="AV203" s="25"/>
      <c r="AW203" s="18"/>
    </row>
    <row r="204" spans="1:54" hidden="1" outlineLevel="1">
      <c r="B204" s="48"/>
      <c r="D204" s="14"/>
      <c r="E204" s="14"/>
      <c r="F204" s="14"/>
      <c r="G204" s="14"/>
      <c r="I204" s="1">
        <f>IF(F210="",0,IF(F210=G210,J$195,IF(F210&gt;G210,I$195,0)))</f>
        <v>0</v>
      </c>
      <c r="J204" s="1">
        <f>IF(G210="",0,IF(F210=G210,J$195,IF(F210&lt;G210,I$195,0)))</f>
        <v>0</v>
      </c>
      <c r="P204" s="1">
        <f>SUM(P199:P203)</f>
        <v>0</v>
      </c>
      <c r="Z204" s="1">
        <f>IF(AND(Y$199=Y$200,OR(AND(D202=O$199,E202=O$200),AND(D202=O$200,E202=O$199))),6,0)</f>
        <v>0</v>
      </c>
      <c r="AA204" s="1" t="e">
        <f t="shared" si="60"/>
        <v>#N/A</v>
      </c>
      <c r="AB204" s="1" t="e">
        <f t="shared" si="61"/>
        <v>#N/A</v>
      </c>
      <c r="AC204" s="1" t="e">
        <f t="shared" si="62"/>
        <v>#N/A</v>
      </c>
      <c r="AD204" s="1" t="e">
        <f t="shared" si="63"/>
        <v>#N/A</v>
      </c>
      <c r="AF204" s="1">
        <f>IF(AND(Y$200=Y$201,OR(AND(D202=O$200,E202=O$201),AND(D202=O$201,E202=O$200))),6,0)</f>
        <v>6</v>
      </c>
      <c r="AG204" s="1" t="str">
        <f t="shared" si="64"/>
        <v>Bosnien-H.</v>
      </c>
      <c r="AH204" s="1" t="str">
        <f t="shared" si="65"/>
        <v>Iran</v>
      </c>
      <c r="AI204" s="1">
        <f t="shared" si="66"/>
        <v>0</v>
      </c>
      <c r="AJ204" s="1">
        <f t="shared" si="67"/>
        <v>0</v>
      </c>
      <c r="AL204" s="1">
        <f>IF(AND($Y$201=$Y$202,OR(AND($D202=$O$201,$E202=$O$202),AND($D202=$O$202,$E202=$O$201))),6,0)</f>
        <v>0</v>
      </c>
      <c r="AM204" s="1" t="e">
        <f t="shared" si="68"/>
        <v>#N/A</v>
      </c>
      <c r="AN204" s="1" t="e">
        <f t="shared" si="69"/>
        <v>#N/A</v>
      </c>
      <c r="AO204" s="1" t="e">
        <f t="shared" si="70"/>
        <v>#N/A</v>
      </c>
      <c r="AP204" s="1" t="e">
        <f t="shared" si="71"/>
        <v>#N/A</v>
      </c>
      <c r="AR204" s="1">
        <f>IF(ISERROR(AC206),0,1)+IF(ISERROR(AI206),0,1)</f>
        <v>2</v>
      </c>
    </row>
    <row r="205" spans="1:54" hidden="1" outlineLevel="1">
      <c r="B205" s="48"/>
      <c r="D205" s="14"/>
      <c r="E205" s="14"/>
      <c r="F205" s="14"/>
      <c r="G205" s="14"/>
      <c r="I205" s="1">
        <f>IF(F202="",0,IF(F202=G202,J$195,IF(F202&gt;G202,I$195,0)))</f>
        <v>0</v>
      </c>
      <c r="J205" s="1">
        <f>IF(G202="",0,IF(F202=G202,J$195,IF(F202&lt;G202,I$195,0)))</f>
        <v>0</v>
      </c>
      <c r="AB205"/>
      <c r="AR205" s="1">
        <f>IF(ISERROR(AO206),0,1)+IF(ISERROR(AI206),0,1)</f>
        <v>2</v>
      </c>
    </row>
    <row r="206" spans="1:54" hidden="1" outlineLevel="1">
      <c r="B206" s="48"/>
      <c r="D206" s="14"/>
      <c r="E206" s="14"/>
      <c r="F206" s="14"/>
      <c r="G206" s="14"/>
      <c r="I206" s="1">
        <f>IF(F211="",0,IF(F211=G211,J$195,IF(F211&gt;G211,I$195,0)))</f>
        <v>0</v>
      </c>
      <c r="J206" s="1">
        <f>IF(G211="",0,IF(F211=G211,J$195,IF(F211&lt;G211,I$195,0)))</f>
        <v>0</v>
      </c>
      <c r="Z206" s="1">
        <f>MAX(Z199:Z204)</f>
        <v>1</v>
      </c>
      <c r="AA206" s="1" t="str">
        <f>VLOOKUP(Z206,Z199:AD204,2,0)</f>
        <v>Argentinien</v>
      </c>
      <c r="AB206" s="1" t="str">
        <f>VLOOKUP(Z206,Z199:AD204,3,0)</f>
        <v>Bosnien-H.</v>
      </c>
      <c r="AC206" s="1">
        <f>VLOOKUP(Z206,Z199:AD204,4,0)-VLOOKUP(Z206,Z199:AD204,5,0)</f>
        <v>0</v>
      </c>
      <c r="AF206" s="1">
        <f>MAX(AF199:AF204)</f>
        <v>6</v>
      </c>
      <c r="AG206" s="1" t="str">
        <f>VLOOKUP(AF206,AF199:AJ204,2,0)</f>
        <v>Bosnien-H.</v>
      </c>
      <c r="AH206" s="1" t="str">
        <f>VLOOKUP(AF206,AF199:AJ204,3,0)</f>
        <v>Iran</v>
      </c>
      <c r="AI206" s="1">
        <f>VLOOKUP(AF206,AF199:AJ204,4,0)-VLOOKUP(AF206,AF199:AJ204,5,0)</f>
        <v>0</v>
      </c>
      <c r="AL206" s="1">
        <f>MAX(AL199:AL204)</f>
        <v>2</v>
      </c>
      <c r="AM206" s="1" t="str">
        <f>VLOOKUP(AL206,AL199:AP204,2,0)</f>
        <v>Iran</v>
      </c>
      <c r="AN206" s="1" t="str">
        <f>VLOOKUP(AL206,AL199:AP204,3,0)</f>
        <v>Nigeria</v>
      </c>
      <c r="AO206" s="1">
        <f>VLOOKUP(AL206,AL199:AP204,4,0)-VLOOKUP(AL206,AL199:AP204,5,0)</f>
        <v>0</v>
      </c>
      <c r="AR206" s="1">
        <f>IF(OR(AR204=2,AR205=2),1,0)</f>
        <v>1</v>
      </c>
    </row>
    <row r="207" spans="1:54" hidden="1" outlineLevel="1">
      <c r="B207" s="48"/>
    </row>
    <row r="208" spans="1:54" ht="15.75" hidden="1" outlineLevel="1" thickBot="1">
      <c r="B208" s="49" t="s">
        <v>12</v>
      </c>
      <c r="D208" s="3" t="str">
        <f>B$208</f>
        <v>#######</v>
      </c>
      <c r="E208" s="3" t="str">
        <f>B199</f>
        <v>Argentinien</v>
      </c>
      <c r="F208" s="5"/>
      <c r="G208" s="6"/>
      <c r="N208" s="26">
        <f>IF(M203=M202,"",K203)</f>
        <v>5</v>
      </c>
      <c r="O208" s="27" t="str">
        <f>VLOOKUP($K203,$A$227:$G$231,3,0)</f>
        <v>#######</v>
      </c>
      <c r="P208" s="28">
        <f>VLOOKUP($K203,$A$227:$K$231,11,0)</f>
        <v>0</v>
      </c>
      <c r="Q208" s="29">
        <f>VLOOKUP($K203,$A$227:$G$231,4,0)</f>
        <v>0</v>
      </c>
      <c r="R208" s="30">
        <f>VLOOKUP($K203,$A$227:$G$231,5,0)</f>
        <v>-100</v>
      </c>
      <c r="S208" s="30">
        <f>VLOOKUP($K203,$A$227:$G$231,6,0)</f>
        <v>0</v>
      </c>
      <c r="T208" s="31">
        <f>VLOOKUP($K203,$A$227:$G$231,7,0)</f>
        <v>-100</v>
      </c>
      <c r="U208" s="32">
        <f>VLOOKUP($K203,$A$227:$M$231,12,0)</f>
        <v>0</v>
      </c>
      <c r="V208" s="33">
        <f>VLOOKUP($K203,$A$227:$M$231,13,0)</f>
        <v>0</v>
      </c>
      <c r="W208" s="34">
        <f>P208-U208-V208</f>
        <v>0</v>
      </c>
    </row>
    <row r="209" spans="2:28" hidden="1" outlineLevel="1">
      <c r="B209" s="48"/>
      <c r="D209" s="3" t="str">
        <f>B$202</f>
        <v>Nigeria</v>
      </c>
      <c r="E209" s="3" t="str">
        <f>B208</f>
        <v>#######</v>
      </c>
      <c r="F209" s="5"/>
      <c r="G209" s="6"/>
      <c r="AA209" s="5"/>
      <c r="AB209" s="6"/>
    </row>
    <row r="210" spans="2:28" hidden="1" outlineLevel="1">
      <c r="B210" s="48"/>
      <c r="D210" s="3" t="str">
        <f>B208</f>
        <v>#######</v>
      </c>
      <c r="E210" s="3" t="str">
        <f>B200</f>
        <v>Bosnien-H.</v>
      </c>
      <c r="F210" s="5"/>
      <c r="G210" s="6"/>
      <c r="AA210" s="5"/>
      <c r="AB210" s="6"/>
    </row>
    <row r="211" spans="2:28" hidden="1" outlineLevel="1">
      <c r="B211" s="48"/>
      <c r="D211" s="3" t="str">
        <f>B201</f>
        <v>Iran</v>
      </c>
      <c r="E211" s="3" t="str">
        <f>B208</f>
        <v>#######</v>
      </c>
      <c r="F211" s="5"/>
      <c r="G211" s="6"/>
      <c r="AA211" s="5"/>
      <c r="AB211" s="6"/>
    </row>
    <row r="212" spans="2:28" hidden="1" outlineLevel="1">
      <c r="B212" s="48"/>
      <c r="AA212" s="5"/>
      <c r="AB212" s="6"/>
    </row>
    <row r="213" spans="2:28" hidden="1" outlineLevel="1">
      <c r="B213" s="48"/>
      <c r="D213" s="3" t="str">
        <f>B199</f>
        <v>Argentinien</v>
      </c>
      <c r="G213" s="1" t="str">
        <f>B200</f>
        <v>Bosnien-H.</v>
      </c>
      <c r="J213" s="1" t="str">
        <f>B201</f>
        <v>Iran</v>
      </c>
      <c r="M213" s="1" t="str">
        <f>B202</f>
        <v>Nigeria</v>
      </c>
      <c r="P213" s="1" t="str">
        <f>B208</f>
        <v>#######</v>
      </c>
      <c r="AA213" s="5"/>
      <c r="AB213" s="6"/>
    </row>
    <row r="214" spans="2:28" hidden="1" outlineLevel="1">
      <c r="B214" s="48"/>
      <c r="D214" s="3" t="s">
        <v>13</v>
      </c>
      <c r="E214" s="36" t="s">
        <v>4</v>
      </c>
      <c r="F214" s="21" t="s">
        <v>14</v>
      </c>
      <c r="G214" s="22" t="s">
        <v>13</v>
      </c>
      <c r="H214" s="60" t="s">
        <v>4</v>
      </c>
      <c r="I214" s="21" t="s">
        <v>14</v>
      </c>
      <c r="J214" s="22" t="s">
        <v>13</v>
      </c>
      <c r="K214" s="37" t="s">
        <v>4</v>
      </c>
      <c r="L214" s="21" t="s">
        <v>14</v>
      </c>
      <c r="M214" s="22" t="s">
        <v>13</v>
      </c>
      <c r="N214" s="37" t="s">
        <v>4</v>
      </c>
      <c r="O214" s="21" t="s">
        <v>14</v>
      </c>
      <c r="P214" s="22" t="s">
        <v>13</v>
      </c>
      <c r="Q214" s="37" t="s">
        <v>4</v>
      </c>
      <c r="R214" s="21" t="s">
        <v>14</v>
      </c>
      <c r="AA214" s="5"/>
      <c r="AB214" s="6"/>
    </row>
    <row r="215" spans="2:28" hidden="1" outlineLevel="1">
      <c r="B215" s="48"/>
      <c r="D215" s="3" t="str">
        <f>IF(AND(OR($D197=D$213,$E197=D$213),$F197=""),"A",IF($D197=D$213,$I197,0)+IF($E197=D$213,$J197,0))</f>
        <v>A</v>
      </c>
      <c r="E215" s="3">
        <f>IF($D197=D$213,$F197,0)+IF($E197=D$213,$G197,0)</f>
        <v>0</v>
      </c>
      <c r="F215" s="1">
        <f>IF($D197=D$213,-$G197,0)+IF($E197=D$213,-$F197,0)</f>
        <v>0</v>
      </c>
      <c r="G215" s="22" t="str">
        <f>IF(AND(OR($D197=G$213,$E197=G$213),$F197=""),"A",IF($D197=G$213,$I197,0)+IF($E197=G$213,$J197,0))</f>
        <v>A</v>
      </c>
      <c r="H215" s="59">
        <f>IF($D197=G$213,$F197,0)+IF($E197=G$213,$G197,0)</f>
        <v>0</v>
      </c>
      <c r="I215" s="1">
        <f>IF($D197=G$213,-$G197,0)+IF($E197=G$213,-$F197,0)</f>
        <v>0</v>
      </c>
      <c r="J215" s="22">
        <f>IF(AND(OR($D197=J$213,$E197=J$213),$F197=""),"A",IF($D197=J$213,$I197,0)+IF($E197=J$213,$J197,0))</f>
        <v>0</v>
      </c>
      <c r="K215" s="22">
        <f>IF($D197=J$213,$F197,0)+IF($E197=J$213,$G197,0)</f>
        <v>0</v>
      </c>
      <c r="L215" s="1">
        <f>IF($D197=J$213,-$G197,0)+IF($E197=J$213,-$F197,0)</f>
        <v>0</v>
      </c>
      <c r="M215" s="22">
        <f>IF(AND(OR($D197=M$213,$E197=M$213),$F197=""),"A",IF($D197=M$213,$I197,0)+IF($E197=M$213,$J197,0))</f>
        <v>0</v>
      </c>
      <c r="N215" s="22">
        <f>IF($D197=M$213,$F197,0)+IF($E197=M$213,$G197,0)</f>
        <v>0</v>
      </c>
      <c r="O215" s="1">
        <f>IF($D197=M$213,-$G197,0)+IF($E197=M$213,-$F197,0)</f>
        <v>0</v>
      </c>
      <c r="P215" s="22">
        <f>IF(AND(OR($D197=P$213,$E197=P$213),$F197=""),"A",IF($D197=P$213,$I197,0)+IF($E197=P$213,$J197,0))</f>
        <v>0</v>
      </c>
      <c r="Q215" s="22">
        <f>IF($D197=P$213,$F197,0)+IF($E197=P$213,$G197,0)</f>
        <v>0</v>
      </c>
      <c r="R215" s="1">
        <f>IF($D197=P$213,-$G197,0)+IF($E197=P$213,-$F197,0)</f>
        <v>0</v>
      </c>
    </row>
    <row r="216" spans="2:28" hidden="1" outlineLevel="1">
      <c r="B216" s="48"/>
      <c r="D216" s="3">
        <f>IF(AND(OR($D198=D$213,$E198=D$213),$F198=""),"A",IF($D198=D$213,$I198,0)+IF($E198=D$213,$J198,0))</f>
        <v>0</v>
      </c>
      <c r="E216" s="3">
        <f>IF($D198=$B$199,$F198,0)+IF($E198=$B$199,$G198,0)</f>
        <v>0</v>
      </c>
      <c r="F216" s="1">
        <f>IF($D198=$B$199,-$G198,0)+IF($E198=$B$199,-$F198,0)</f>
        <v>0</v>
      </c>
      <c r="G216" s="22">
        <f>IF(AND(OR($D198=G$213,$E198=G$213),$F198=""),"A",IF($D198=G$213,$I198,0)+IF($E198=G$213,$J198,0))</f>
        <v>0</v>
      </c>
      <c r="H216" s="59">
        <f>IF($D198=G$213,$F198,0)+IF($E198=G$213,$G198,0)</f>
        <v>0</v>
      </c>
      <c r="I216" s="1">
        <f>IF($D198=G$213,-$G198,0)+IF($E198=G$213,-$F198,0)</f>
        <v>0</v>
      </c>
      <c r="J216" s="22" t="str">
        <f>IF(AND(OR($D198=J$213,$E198=J$213),$F198=""),"A",IF($D198=J$213,$I198,0)+IF($E198=J$213,$J198,0))</f>
        <v>A</v>
      </c>
      <c r="K216" s="22">
        <f>IF($D198=J$213,$F198,0)+IF($E198=J$213,$G198,0)</f>
        <v>0</v>
      </c>
      <c r="L216" s="1">
        <f>IF($D198=J$213,-$G198,0)+IF($E198=J$213,-$F198,0)</f>
        <v>0</v>
      </c>
      <c r="M216" s="22" t="str">
        <f>IF(AND(OR($D198=M$213,$E198=M$213),$F198=""),"A",IF($D198=M$213,$I198,0)+IF($E198=M$213,$J198,0))</f>
        <v>A</v>
      </c>
      <c r="N216" s="22">
        <f>IF($D198=M$213,$F198,0)+IF($E198=M$213,$G198,0)</f>
        <v>0</v>
      </c>
      <c r="O216" s="1">
        <f>IF($D198=M$213,-$G198,0)+IF($E198=M$213,-$F198,0)</f>
        <v>0</v>
      </c>
      <c r="P216" s="22">
        <f>IF(AND(OR($D198=P$213,$E198=P$213),$F198=""),"A",IF($D198=P$213,$I198,0)+IF($E198=P$213,$J198,0))</f>
        <v>0</v>
      </c>
      <c r="Q216" s="22">
        <f>IF($D198=P$213,$F198,0)+IF($E198=P$213,$G198,0)</f>
        <v>0</v>
      </c>
      <c r="R216" s="1">
        <f>IF($D198=P$213,-$G198,0)+IF($E198=P$213,-$F198,0)</f>
        <v>0</v>
      </c>
    </row>
    <row r="217" spans="2:28" hidden="1" outlineLevel="1">
      <c r="B217" s="48"/>
      <c r="D217" s="3" t="str">
        <f>IF(AND(OR($D208=D$213,$E208=D$213),$F208=""),"A",IF($D208=D$213,$I199,0)+IF($E208=D$213,$J199,0))</f>
        <v>A</v>
      </c>
      <c r="E217" s="3">
        <f>IF($D208=$B$199,$F208,0)+IF($E208=$B$199,$G208,0)</f>
        <v>0</v>
      </c>
      <c r="F217" s="1">
        <f>IF($D208=$B$199,-$G208,0)+IF($E208=$B$199,-$F208,0)</f>
        <v>0</v>
      </c>
      <c r="G217" s="22">
        <f>IF(AND(OR($D208=G$213,$E208=G$213),$F208=""),"A",IF($D208=G$213,$I199,0)+IF($E208=G$213,$J199,0))</f>
        <v>0</v>
      </c>
      <c r="H217" s="59">
        <f>IF($D208=G$213,$F208,0)+IF($E208=G$213,$G208,0)</f>
        <v>0</v>
      </c>
      <c r="I217" s="1">
        <f>IF($D208=G$213,-$G208,0)+IF($E208=G$213,-$F208,0)</f>
        <v>0</v>
      </c>
      <c r="J217" s="22">
        <f>IF(AND(OR($D208=J$213,$E208=J$213),$F208=""),"A",IF($D208=J$213,$I199,0)+IF($E208=J$213,$J199,0))</f>
        <v>0</v>
      </c>
      <c r="K217" s="22">
        <f>IF($D208=J$213,$F208,0)+IF($E208=J$213,$G208,0)</f>
        <v>0</v>
      </c>
      <c r="L217" s="1">
        <f>IF($D208=J$213,-$G208,0)+IF($E208=J$213,-$F208,0)</f>
        <v>0</v>
      </c>
      <c r="M217" s="22">
        <f>IF(AND(OR($D208=M$213,$E208=M$213),$F208=""),"A",IF($D208=M$213,$I199,0)+IF($E208=M$213,$J199,0))</f>
        <v>0</v>
      </c>
      <c r="N217" s="22">
        <f>IF($D208=M$213,$F208,0)+IF($E208=M$213,$G208,0)</f>
        <v>0</v>
      </c>
      <c r="O217" s="1">
        <f>IF($D208=M$213,-$G208,0)+IF($E208=M$213,-$F208,0)</f>
        <v>0</v>
      </c>
      <c r="P217" s="22" t="str">
        <f>IF(AND(OR($D208=P$213,$E208=P$213),$F208=""),"A",IF($D208=P$213,$I199,0)+IF($E208=P$213,$J199,0))</f>
        <v>A</v>
      </c>
      <c r="Q217" s="22">
        <f>IF($D208=P$213,$F208,0)+IF($E208=P$213,$G208,0)</f>
        <v>0</v>
      </c>
      <c r="R217" s="1">
        <f>IF($D208=P$213,-$G208,0)+IF($E208=P$213,-$F208,0)</f>
        <v>0</v>
      </c>
    </row>
    <row r="218" spans="2:28" hidden="1" outlineLevel="1">
      <c r="B218" s="48"/>
      <c r="D218" s="3" t="str">
        <f>IF(AND(OR($D199=D$213,$E199=D$213),$F199=""),"A",IF($D199=D$213,$I200,0)+IF($E199=D$213,$J200,0))</f>
        <v>A</v>
      </c>
      <c r="E218" s="3">
        <f>IF($D199=$B$199,$F199,0)+IF($E199=$B$199,$G199,0)</f>
        <v>0</v>
      </c>
      <c r="F218" s="1">
        <f>IF($D199=$B$199,-$G199,0)+IF($E199=$B$199,-$F199,0)</f>
        <v>0</v>
      </c>
      <c r="G218" s="22">
        <f>IF(AND(OR($D199=G$213,$E199=G$213),$F199=""),"A",IF($D199=G$213,$I200,0)+IF($E199=G$213,$J200,0))</f>
        <v>0</v>
      </c>
      <c r="H218" s="59">
        <f>IF($D199=G$213,$F199,0)+IF($E199=G$213,$G199,0)</f>
        <v>0</v>
      </c>
      <c r="I218" s="1">
        <f>IF($D199=G$213,-$G199,0)+IF($E199=G$213,-$F199,0)</f>
        <v>0</v>
      </c>
      <c r="J218" s="22" t="str">
        <f>IF(AND(OR($D199=J$213,$E199=J$213),$F199=""),"A",IF($D199=J$213,$I200,0)+IF($E199=J$213,$J200,0))</f>
        <v>A</v>
      </c>
      <c r="K218" s="22">
        <f>IF($D199=J$213,$F199,0)+IF($E199=J$213,$G199,0)</f>
        <v>0</v>
      </c>
      <c r="L218" s="1">
        <f>IF($D199=J$213,-$G199,0)+IF($E199=J$213,-$F199,0)</f>
        <v>0</v>
      </c>
      <c r="M218" s="22">
        <f>IF(AND(OR($D199=M$213,$E199=M$213),$F199=""),"A",IF($D199=M$213,$I200,0)+IF($E199=M$213,$J200,0))</f>
        <v>0</v>
      </c>
      <c r="N218" s="22">
        <f>IF($D199=M$213,$F199,0)+IF($E199=M$213,$G199,0)</f>
        <v>0</v>
      </c>
      <c r="O218" s="1">
        <f>IF($D199=M$213,-$G199,0)+IF($E199=M$213,-$F199,0)</f>
        <v>0</v>
      </c>
      <c r="P218" s="22">
        <f>IF(AND(OR($D199=P$213,$E199=P$213),$F199=""),"A",IF($D199=P$213,$I200,0)+IF($E199=P$213,$J200,0))</f>
        <v>0</v>
      </c>
      <c r="Q218" s="22">
        <f>IF($D199=P$213,$F199,0)+IF($E199=P$213,$G199,0)</f>
        <v>0</v>
      </c>
      <c r="R218" s="1">
        <f>IF($D199=P$213,-$G199,0)+IF($E199=P$213,-$F199,0)</f>
        <v>0</v>
      </c>
    </row>
    <row r="219" spans="2:28" hidden="1" outlineLevel="1">
      <c r="B219" s="48"/>
      <c r="D219" s="3">
        <f>IF(AND(OR($D209=D$213,$E209=D$213),$F209=""),"A",IF($D209=D$213,$I201,0)+IF($E209=D$213,$J201,0))</f>
        <v>0</v>
      </c>
      <c r="E219" s="3">
        <f>IF($D209=$B$199,$F209,0)+IF($E209=$B$199,$G209,0)</f>
        <v>0</v>
      </c>
      <c r="F219" s="1">
        <f>IF($D209=$B$199,-$G209,0)+IF($E209=$B$199,-$F209,0)</f>
        <v>0</v>
      </c>
      <c r="G219" s="22">
        <f>IF(AND(OR($D209=G$213,$E209=G$213),$F209=""),"A",IF($D209=G$213,$I201,0)+IF($E209=G$213,$J201,0))</f>
        <v>0</v>
      </c>
      <c r="H219" s="59">
        <f>IF($D209=G$213,$F209,0)+IF($E209=G$213,$G209,0)</f>
        <v>0</v>
      </c>
      <c r="I219" s="1">
        <f>IF($D209=G$213,-$G209,0)+IF($E209=G$213,-$F209,0)</f>
        <v>0</v>
      </c>
      <c r="J219" s="22">
        <f>IF(AND(OR($D209=J$213,$E209=J$213),$F209=""),"A",IF($D209=J$213,$I201,0)+IF($E209=J$213,$J201,0))</f>
        <v>0</v>
      </c>
      <c r="K219" s="22">
        <f>IF($D209=J$213,$F209,0)+IF($E209=J$213,$G209,0)</f>
        <v>0</v>
      </c>
      <c r="L219" s="1">
        <f>IF($D209=J$213,-$G209,0)+IF($E209=J$213,-$F209,0)</f>
        <v>0</v>
      </c>
      <c r="M219" s="22" t="str">
        <f>IF(AND(OR($D209=M$213,$E209=M$213),$F209=""),"A",IF($D209=M$213,$I201,0)+IF($E209=M$213,$J201,0))</f>
        <v>A</v>
      </c>
      <c r="N219" s="22">
        <f>IF($D209=M$213,$F209,0)+IF($E209=M$213,$G209,0)</f>
        <v>0</v>
      </c>
      <c r="O219" s="1">
        <f>IF($D209=M$213,-$G209,0)+IF($E209=M$213,-$F209,0)</f>
        <v>0</v>
      </c>
      <c r="P219" s="22" t="str">
        <f>IF(AND(OR($D209=P$213,$E209=P$213),$F209=""),"A",IF($D209=P$213,$I201,0)+IF($E209=P$213,$J201,0))</f>
        <v>A</v>
      </c>
      <c r="Q219" s="22">
        <f>IF($D209=P$213,$F209,0)+IF($E209=P$213,$G209,0)</f>
        <v>0</v>
      </c>
      <c r="R219" s="1">
        <f>IF($D209=P$213,-$G209,0)+IF($E209=P$213,-$F209,0)</f>
        <v>0</v>
      </c>
    </row>
    <row r="220" spans="2:28" hidden="1" outlineLevel="1">
      <c r="B220" s="48"/>
      <c r="D220" s="3">
        <f>IF(AND(OR($D200=D$213,$E200=D$213),$F200=""),"A",IF($D200=D$213,$I202,0)+IF($E200=D$213,$J202,0))</f>
        <v>0</v>
      </c>
      <c r="E220" s="3">
        <f>IF($D200=$B$199,$F200,0)+IF($E200=$B$199,$G200,0)</f>
        <v>0</v>
      </c>
      <c r="F220" s="1">
        <f>IF($D200=$B$199,-$G200,0)+IF($E200=$B$199,-$F200,0)</f>
        <v>0</v>
      </c>
      <c r="G220" s="22" t="str">
        <f>IF(AND(OR($D200=G$213,$E200=G$213),$F200=""),"A",IF($D200=G$213,$I202,0)+IF($E200=G$213,$J202,0))</f>
        <v>A</v>
      </c>
      <c r="H220" s="59">
        <f>IF($D200=G$213,$F200,0)+IF($E200=G$213,$G200,0)</f>
        <v>0</v>
      </c>
      <c r="I220" s="1">
        <f>IF($D200=G$213,-$G200,0)+IF($E200=G$213,-$F200,0)</f>
        <v>0</v>
      </c>
      <c r="J220" s="22">
        <f>IF(AND(OR($D200=J$213,$E200=J$213),$F200=""),"A",IF($D200=J$213,$I202,0)+IF($E200=J$213,$J202,0))</f>
        <v>0</v>
      </c>
      <c r="K220" s="22">
        <f>IF($D200=J$213,$F200,0)+IF($E200=J$213,$G200,0)</f>
        <v>0</v>
      </c>
      <c r="L220" s="1">
        <f>IF($D200=J$213,-$G200,0)+IF($E200=J$213,-$F200,0)</f>
        <v>0</v>
      </c>
      <c r="M220" s="22" t="str">
        <f>IF(AND(OR($D200=M$213,$E200=M$213),$F200=""),"A",IF($D200=M$213,$I202,0)+IF($E200=M$213,$J202,0))</f>
        <v>A</v>
      </c>
      <c r="N220" s="22">
        <f>IF($D200=M$213,$F200,0)+IF($E200=M$213,$G200,0)</f>
        <v>0</v>
      </c>
      <c r="O220" s="1">
        <f>IF($D200=M$213,-$G200,0)+IF($E200=M$213,-$F200,0)</f>
        <v>0</v>
      </c>
      <c r="P220" s="22">
        <f>IF(AND(OR($D200=P$213,$E200=P$213),$F200=""),"A",IF($D200=P$213,$I202,0)+IF($E200=P$213,$J202,0))</f>
        <v>0</v>
      </c>
      <c r="Q220" s="22">
        <f>IF($D200=P$213,$F200,0)+IF($E200=P$213,$G200,0)</f>
        <v>0</v>
      </c>
      <c r="R220" s="1">
        <f>IF($D200=P$213,-$G200,0)+IF($E200=P$213,-$F200,0)</f>
        <v>0</v>
      </c>
    </row>
    <row r="221" spans="2:28" hidden="1" outlineLevel="1">
      <c r="B221" s="48"/>
      <c r="D221" s="3" t="str">
        <f>IF(AND(OR($D201=D$213,$E201=D$213),$F201=""),"A",IF($D201=D$213,$I203,0)+IF($E201=D$213,$J203,0))</f>
        <v>A</v>
      </c>
      <c r="E221" s="3">
        <f>IF($D201=$B$199,$F201,0)+IF($E201=$B$199,$G201,0)</f>
        <v>0</v>
      </c>
      <c r="F221" s="1">
        <f>IF($D201=$B$199,-$G201,0)+IF($E201=$B$199,-$F201,0)</f>
        <v>0</v>
      </c>
      <c r="G221" s="22">
        <f>IF(AND(OR($D201=G$213,$E201=G$213),$F201=""),"A",IF($D201=G$213,$I203,0)+IF($E201=G$213,$J203,0))</f>
        <v>0</v>
      </c>
      <c r="H221" s="59">
        <f>IF($D201=G$213,$F201,0)+IF($E201=G$213,$G201,0)</f>
        <v>0</v>
      </c>
      <c r="I221" s="1">
        <f>IF($D201=G$213,-$G201,0)+IF($E201=G$213,-$F201,0)</f>
        <v>0</v>
      </c>
      <c r="J221" s="22">
        <f>IF(AND(OR($D201=J$213,$E201=J$213),$F201=""),"A",IF($D201=J$213,$I203,0)+IF($E201=J$213,$J203,0))</f>
        <v>0</v>
      </c>
      <c r="K221" s="22">
        <f>IF($D201=J$213,$F201,0)+IF($E201=J$213,$G201,0)</f>
        <v>0</v>
      </c>
      <c r="L221" s="1">
        <f>IF($D201=J$213,-$G201,0)+IF($E201=J$213,-$F201,0)</f>
        <v>0</v>
      </c>
      <c r="M221" s="22" t="str">
        <f>IF(AND(OR($D201=M$213,$E201=M$213),$F201=""),"A",IF($D201=M$213,$I203,0)+IF($E201=M$213,$J203,0))</f>
        <v>A</v>
      </c>
      <c r="N221" s="22">
        <f>IF($D201=M$213,$F201,0)+IF($E201=M$213,$G201,0)</f>
        <v>0</v>
      </c>
      <c r="O221" s="1">
        <f>IF($D201=M$213,-$G201,0)+IF($E201=M$213,-$F201,0)</f>
        <v>0</v>
      </c>
      <c r="P221" s="22">
        <f>IF(AND(OR($D201=P$213,$E201=P$213),$F201=""),"A",IF($D201=P$213,$I203,0)+IF($E201=P$213,$J203,0))</f>
        <v>0</v>
      </c>
      <c r="Q221" s="22">
        <f>IF($D201=P$213,$F201,0)+IF($E201=P$213,$G201,0)</f>
        <v>0</v>
      </c>
      <c r="R221" s="1">
        <f>IF($D201=P$213,-$G201,0)+IF($E201=P$213,-$F201,0)</f>
        <v>0</v>
      </c>
    </row>
    <row r="222" spans="2:28" hidden="1" outlineLevel="1">
      <c r="B222" s="48"/>
      <c r="D222" s="3">
        <f>IF(AND(OR($D210=D$213,$E210=D$213),$F210=""),"A",IF($D210=D$213,$I204,0)+IF($E210=D$213,$J204,0))</f>
        <v>0</v>
      </c>
      <c r="E222" s="3">
        <f>IF($D210=$B$199,$F210,0)+IF($E210=$B$199,$G210,0)</f>
        <v>0</v>
      </c>
      <c r="F222" s="1">
        <f>IF($D210=$B$199,-$G210,0)+IF($E210=$B$199,-$F210,0)</f>
        <v>0</v>
      </c>
      <c r="G222" s="22" t="str">
        <f>IF(AND(OR($D210=G$213,$E210=G$213),$F210=""),"A",IF($D210=G$213,$I204,0)+IF($E210=G$213,$J204,0))</f>
        <v>A</v>
      </c>
      <c r="H222" s="59">
        <f>IF($D210=G$213,$F210,0)+IF($E210=G$213,$G210,0)</f>
        <v>0</v>
      </c>
      <c r="I222" s="1">
        <f>IF($D210=G$213,-$G210,0)+IF($E210=G$213,-$F210,0)</f>
        <v>0</v>
      </c>
      <c r="J222" s="22">
        <f>IF(AND(OR($D210=J$213,$E210=J$213),$F210=""),"A",IF($D210=J$213,$I204,0)+IF($E210=J$213,$J204,0))</f>
        <v>0</v>
      </c>
      <c r="K222" s="22">
        <f>IF($D210=J$213,$F210,0)+IF($E210=J$213,$G210,0)</f>
        <v>0</v>
      </c>
      <c r="L222" s="1">
        <f>IF($D210=J$213,-$G210,0)+IF($E210=J$213,-$F210,0)</f>
        <v>0</v>
      </c>
      <c r="M222" s="22">
        <f>IF(AND(OR($D210=M$213,$E210=M$213),$F210=""),"A",IF($D210=M$213,$I204,0)+IF($E210=M$213,$J204,0))</f>
        <v>0</v>
      </c>
      <c r="N222" s="22">
        <f>IF($D210=M$213,$F210,0)+IF($E210=M$213,$G210,0)</f>
        <v>0</v>
      </c>
      <c r="O222" s="1">
        <f>IF($D210=M$213,-$G210,0)+IF($E210=M$213,-$F210,0)</f>
        <v>0</v>
      </c>
      <c r="P222" s="22" t="str">
        <f>IF(AND(OR($D210=P$213,$E210=P$213),$F210=""),"A",IF($D210=P$213,$I204,0)+IF($E210=P$213,$J204,0))</f>
        <v>A</v>
      </c>
      <c r="Q222" s="22">
        <f>IF($D210=P$213,$F210,0)+IF($E210=P$213,$G210,0)</f>
        <v>0</v>
      </c>
      <c r="R222" s="1">
        <f>IF($D210=P$213,-$G210,0)+IF($E210=P$213,-$F210,0)</f>
        <v>0</v>
      </c>
    </row>
    <row r="223" spans="2:28" hidden="1" outlineLevel="1">
      <c r="B223" s="48"/>
      <c r="D223" s="3">
        <f>IF(AND(OR($D202=D$213,$E202=D$213),$F202=""),"A",IF($D202=D$213,$I205,0)+IF($E202=D$213,$J205,0))</f>
        <v>0</v>
      </c>
      <c r="E223" s="3">
        <f>IF($D202=$B$199,$F202,0)+IF($E202=$B$199,$G202,0)</f>
        <v>0</v>
      </c>
      <c r="F223" s="1">
        <f>IF($D202=$B$199,-$G202,0)+IF($E202=$B$199,-$F202,0)</f>
        <v>0</v>
      </c>
      <c r="G223" s="22" t="str">
        <f>IF(AND(OR($D202=G$213,$E202=G$213),$F202=""),"A",IF($D202=G$213,$I205,0)+IF($E202=G$213,$J205,0))</f>
        <v>A</v>
      </c>
      <c r="H223" s="59">
        <f>IF($D202=G$213,$F202,0)+IF($E202=G$213,$G202,0)</f>
        <v>0</v>
      </c>
      <c r="I223" s="1">
        <f>IF($D202=G$213,-$G202,0)+IF($E202=G$213,-$F202,0)</f>
        <v>0</v>
      </c>
      <c r="J223" s="22" t="str">
        <f>IF(AND(OR($D202=J$213,$E202=J$213),$F202=""),"A",IF($D202=J$213,$I205,0)+IF($E202=J$213,$J205,0))</f>
        <v>A</v>
      </c>
      <c r="K223" s="22">
        <f>IF($D202=J$213,$F202,0)+IF($E202=J$213,$G202,0)</f>
        <v>0</v>
      </c>
      <c r="L223" s="1">
        <f>IF($D202=J$213,-$G202,0)+IF($E202=J$213,-$F202,0)</f>
        <v>0</v>
      </c>
      <c r="M223" s="22">
        <f>IF(AND(OR($D202=M$213,$E202=M$213),$F202=""),"A",IF($D202=M$213,$I205,0)+IF($E202=M$213,$J205,0))</f>
        <v>0</v>
      </c>
      <c r="N223" s="22">
        <f>IF($D202=M$213,$F202,0)+IF($E202=M$213,$G202,0)</f>
        <v>0</v>
      </c>
      <c r="O223" s="1">
        <f>IF($D202=M$213,-$G202,0)+IF($E202=M$213,-$F202,0)</f>
        <v>0</v>
      </c>
      <c r="P223" s="22">
        <f>IF(AND(OR($D202=P$213,$E202=P$213),$F202=""),"A",IF($D202=P$213,$I205,0)+IF($E202=P$213,$J205,0))</f>
        <v>0</v>
      </c>
      <c r="Q223" s="22">
        <f>IF($D202=P$213,$F202,0)+IF($E202=P$213,$G202,0)</f>
        <v>0</v>
      </c>
      <c r="R223" s="1">
        <f>IF($D202=P$213,-$G202,0)+IF($E202=P$213,-$F202,0)</f>
        <v>0</v>
      </c>
    </row>
    <row r="224" spans="2:28" hidden="1" outlineLevel="1">
      <c r="B224" s="48"/>
      <c r="D224" s="3">
        <f>IF(AND(OR($D211=D$213,$E211=D$213),$F211=""),"A",IF($D211=D$213,$I206,0)+IF($E211=D$213,$J206,0))</f>
        <v>0</v>
      </c>
      <c r="E224" s="3">
        <f>IF($D211=$B$199,$F211,0)+IF($E211=$B$199,$G211,0)</f>
        <v>0</v>
      </c>
      <c r="F224" s="1">
        <f>IF($D211=$B$199,-$G211,0)+IF($E211=$B$199,-$F211,0)</f>
        <v>0</v>
      </c>
      <c r="G224" s="22">
        <f>IF(AND(OR($D211=G$213,$E211=G$213),$F211=""),"A",IF($D211=G$213,$I206,0)+IF($E211=G$213,$J206,0))</f>
        <v>0</v>
      </c>
      <c r="H224" s="59">
        <f>IF($D211=G$213,$F211,0)+IF($E211=G$213,$G211,0)</f>
        <v>0</v>
      </c>
      <c r="I224" s="1">
        <f>IF($D211=G$213,-$G211,0)+IF($E211=G$213,-$F211,0)</f>
        <v>0</v>
      </c>
      <c r="J224" s="22" t="str">
        <f>IF(AND(OR($D211=J$213,$E211=J$213),$F211=""),"A",IF($D211=J$213,$I206,0)+IF($E211=J$213,$J206,0))</f>
        <v>A</v>
      </c>
      <c r="K224" s="22">
        <f>IF($D211=J$213,$F211,0)+IF($E211=J$213,$G211,0)</f>
        <v>0</v>
      </c>
      <c r="L224" s="1">
        <f>IF($D211=J$213,-$G211,0)+IF($E211=J$213,-$F211,0)</f>
        <v>0</v>
      </c>
      <c r="M224" s="22">
        <f>IF(AND(OR($D211=M$213,$E211=M$213),$F211=""),"A",IF($D211=M$213,$I206,0)+IF($E211=M$213,$J206,0))</f>
        <v>0</v>
      </c>
      <c r="N224" s="22">
        <f>IF($D211=M$213,$F211,0)+IF($E211=M$213,$G211,0)</f>
        <v>0</v>
      </c>
      <c r="O224" s="1">
        <f>IF($D211=M$213,-$G211,0)+IF($E211=M$213,-$F211,0)</f>
        <v>0</v>
      </c>
      <c r="P224" s="22" t="str">
        <f>IF(AND(OR($D211=P$213,$E211=P$213),$F211=""),"A",IF($D211=P$213,$I206,0)+IF($E211=P$213,$J206,0))</f>
        <v>A</v>
      </c>
      <c r="Q224" s="22">
        <f>IF($D211=P$213,$F211,0)+IF($E211=P$213,$G211,0)</f>
        <v>0</v>
      </c>
      <c r="R224" s="1">
        <f>IF($D211=P$213,-$G211,0)+IF($E211=P$213,-$F211,0)</f>
        <v>0</v>
      </c>
    </row>
    <row r="225" spans="1:54" hidden="1" outlineLevel="1">
      <c r="B225" s="48"/>
    </row>
    <row r="226" spans="1:54" hidden="1" outlineLevel="1">
      <c r="B226" s="48"/>
      <c r="H226" s="59" t="s">
        <v>15</v>
      </c>
      <c r="I226" s="1" t="s">
        <v>16</v>
      </c>
      <c r="J226" s="38" t="s">
        <v>4</v>
      </c>
      <c r="K226" s="1" t="s">
        <v>17</v>
      </c>
    </row>
    <row r="227" spans="1:54" hidden="1" outlineLevel="1">
      <c r="A227" s="21">
        <f>RANK(B227,B$227:B$231,1)</f>
        <v>1</v>
      </c>
      <c r="B227" s="48">
        <f>SUM(H227:J227)+ROW()/1000</f>
        <v>10110.227000000001</v>
      </c>
      <c r="C227" s="22" t="str">
        <f>B199</f>
        <v>Argentinien</v>
      </c>
      <c r="D227" s="3">
        <f>SUM(D215:D224)</f>
        <v>0</v>
      </c>
      <c r="E227" s="3">
        <f>F227+G227</f>
        <v>0</v>
      </c>
      <c r="F227" s="22">
        <f>SUM(E215:E224)</f>
        <v>0</v>
      </c>
      <c r="G227" s="22">
        <f>SUM(F215:F224)</f>
        <v>0</v>
      </c>
      <c r="H227" s="59">
        <f>10000*RANK(D227,D$227:D$231)-N227</f>
        <v>10000</v>
      </c>
      <c r="I227" s="1">
        <f>100*RANK(E227,E$227:E$231)</f>
        <v>100</v>
      </c>
      <c r="J227" s="1">
        <f>10*RANK(F227,F$227:F$231)</f>
        <v>10</v>
      </c>
      <c r="K227" s="1">
        <f>4-COUNTIF(D$215:D$224,"A")</f>
        <v>0</v>
      </c>
      <c r="L227" s="1">
        <f>COUNTIF(D$215:D$224,I$195)</f>
        <v>0</v>
      </c>
      <c r="M227" s="1">
        <f>COUNTIF(D$215:D$224,J$195)</f>
        <v>0</v>
      </c>
      <c r="N227" s="1">
        <f>IF(A199&lt;&gt;"",500,0)</f>
        <v>0</v>
      </c>
      <c r="O227" s="39" t="str">
        <f>IF(A199&lt;&gt;"",UPPER(A199),"")</f>
        <v/>
      </c>
    </row>
    <row r="228" spans="1:54" hidden="1" outlineLevel="1">
      <c r="A228" s="21">
        <f>RANK(B228,B$227:B$231,1)</f>
        <v>2</v>
      </c>
      <c r="B228" s="48">
        <f>SUM(H228:J228)+ROW()/1000</f>
        <v>10110.227999999999</v>
      </c>
      <c r="C228" s="22" t="str">
        <f>B200</f>
        <v>Bosnien-H.</v>
      </c>
      <c r="D228" s="3">
        <f>SUM(G215:G224)</f>
        <v>0</v>
      </c>
      <c r="E228" s="3">
        <f>F228+G228</f>
        <v>0</v>
      </c>
      <c r="F228" s="22">
        <f>SUM(H215:H224)</f>
        <v>0</v>
      </c>
      <c r="G228" s="22">
        <f>SUM(I215:I224)</f>
        <v>0</v>
      </c>
      <c r="H228" s="59">
        <f>10000*RANK(D228,D$227:D$231)-N228</f>
        <v>10000</v>
      </c>
      <c r="I228" s="1">
        <f>100*RANK(E228,E$227:E$231)</f>
        <v>100</v>
      </c>
      <c r="J228" s="1">
        <f>10*RANK(F228,F$227:F$231)</f>
        <v>10</v>
      </c>
      <c r="K228" s="1">
        <f>4-COUNTIF(G$215:G$224,"A")</f>
        <v>0</v>
      </c>
      <c r="L228" s="1">
        <f>COUNTIF(G$215:G$224,I$195)</f>
        <v>0</v>
      </c>
      <c r="M228" s="1">
        <f>COUNTIF(G$215:G$224,J$195)</f>
        <v>0</v>
      </c>
      <c r="N228" s="1">
        <f>IF(A200&lt;&gt;"",500,0)</f>
        <v>0</v>
      </c>
      <c r="O228" s="39" t="str">
        <f>IF(A200&lt;&gt;"",UPPER(A200),"")</f>
        <v/>
      </c>
    </row>
    <row r="229" spans="1:54" hidden="1" outlineLevel="1">
      <c r="A229" s="21">
        <f>RANK(B229,B$227:B$231,1)</f>
        <v>3</v>
      </c>
      <c r="B229" s="48">
        <f>SUM(H229:J229)+ROW()/1000</f>
        <v>10110.228999999999</v>
      </c>
      <c r="C229" s="22" t="str">
        <f>B201</f>
        <v>Iran</v>
      </c>
      <c r="D229" s="3">
        <f>SUM(J215:J224)</f>
        <v>0</v>
      </c>
      <c r="E229" s="3">
        <f>F229+G229</f>
        <v>0</v>
      </c>
      <c r="F229" s="22">
        <f>SUM(K215:K224)</f>
        <v>0</v>
      </c>
      <c r="G229" s="22">
        <f>SUM(L215:L224)</f>
        <v>0</v>
      </c>
      <c r="H229" s="59">
        <f>10000*RANK(D229,D$227:D$231)-N229</f>
        <v>10000</v>
      </c>
      <c r="I229" s="1">
        <f>100*RANK(E229,E$227:E$231)</f>
        <v>100</v>
      </c>
      <c r="J229" s="1">
        <f>10*RANK(F229,F$227:F$231)</f>
        <v>10</v>
      </c>
      <c r="K229" s="1">
        <f>4-COUNTIF(J$215:J$224,"A")</f>
        <v>0</v>
      </c>
      <c r="L229" s="1">
        <f>COUNTIF(J$215:J$224,I$195)</f>
        <v>0</v>
      </c>
      <c r="M229" s="1">
        <f>COUNTIF(J$215:J$224,J$195)</f>
        <v>0</v>
      </c>
      <c r="N229" s="1">
        <f>IF(A201&lt;&gt;"",500,0)</f>
        <v>0</v>
      </c>
      <c r="O229" s="39" t="str">
        <f>IF(A201&lt;&gt;"",UPPER(A201),"")</f>
        <v/>
      </c>
    </row>
    <row r="230" spans="1:54" hidden="1" outlineLevel="1">
      <c r="A230" s="21">
        <f>RANK(B230,B$227:B$231,1)</f>
        <v>4</v>
      </c>
      <c r="B230" s="48">
        <f>SUM(H230:J230)+ROW()/1000</f>
        <v>10110.23</v>
      </c>
      <c r="C230" s="22" t="str">
        <f>B202</f>
        <v>Nigeria</v>
      </c>
      <c r="D230" s="3">
        <f>SUM(M215:M224)</f>
        <v>0</v>
      </c>
      <c r="E230" s="3">
        <f>F230+G230</f>
        <v>0</v>
      </c>
      <c r="F230" s="22">
        <f>SUM(N215:N224)</f>
        <v>0</v>
      </c>
      <c r="G230" s="22">
        <f>SUM(O215:O224)</f>
        <v>0</v>
      </c>
      <c r="H230" s="59">
        <f>10000*RANK(D230,D$227:D$231)-N230</f>
        <v>10000</v>
      </c>
      <c r="I230" s="1">
        <f>100*RANK(E230,E$227:E$231)</f>
        <v>100</v>
      </c>
      <c r="J230" s="1">
        <f>10*RANK(F230,F$227:F$231)</f>
        <v>10</v>
      </c>
      <c r="K230" s="1">
        <f>4-COUNTIF(M$215:M$224,"A")</f>
        <v>0</v>
      </c>
      <c r="L230" s="1">
        <f>COUNTIF(M$215:M$224,I$195)</f>
        <v>0</v>
      </c>
      <c r="M230" s="1">
        <f>COUNTIF(M$215:M$224,J$195)</f>
        <v>0</v>
      </c>
      <c r="N230" s="1">
        <f>IF(A202&lt;&gt;"",500,0)</f>
        <v>0</v>
      </c>
      <c r="O230" s="39" t="str">
        <f>IF(A202&lt;&gt;"",UPPER(A202),"")</f>
        <v/>
      </c>
    </row>
    <row r="231" spans="1:54" hidden="1" outlineLevel="1">
      <c r="A231" s="21">
        <f>RANK(B231,B$227:B$231,1)</f>
        <v>5</v>
      </c>
      <c r="B231" s="48">
        <f>SUM(H231:J231)+ROW()/1000</f>
        <v>10510.231</v>
      </c>
      <c r="C231" s="22" t="str">
        <f>B208</f>
        <v>#######</v>
      </c>
      <c r="D231" s="3">
        <v>0</v>
      </c>
      <c r="E231" s="3">
        <f>F231+G231</f>
        <v>-100</v>
      </c>
      <c r="F231" s="22">
        <v>0</v>
      </c>
      <c r="G231" s="22">
        <v>-100</v>
      </c>
      <c r="H231" s="59">
        <f>10000*RANK(D231,D$227:D$231)-N231</f>
        <v>10000</v>
      </c>
      <c r="I231" s="1">
        <f>100*RANK(E231,E$227:E$231)</f>
        <v>500</v>
      </c>
      <c r="J231" s="1">
        <f>10*RANK(F231,F$227:F$231)</f>
        <v>10</v>
      </c>
      <c r="K231" s="1">
        <f>4-COUNTIF(P$215:P$224,"A")</f>
        <v>0</v>
      </c>
      <c r="L231" s="1">
        <f>COUNTIF(P$215:P$224,I$195)</f>
        <v>0</v>
      </c>
      <c r="M231" s="1">
        <f>COUNTIF(P$215:P$224,J$195)</f>
        <v>0</v>
      </c>
      <c r="N231" s="1">
        <f>IF(A203&lt;&gt;"",500,0)</f>
        <v>0</v>
      </c>
      <c r="O231" s="39" t="str">
        <f>IF(A203&lt;&gt;"",UPPER(A203),"")</f>
        <v/>
      </c>
    </row>
    <row r="232" spans="1:54" hidden="1" outlineLevel="1">
      <c r="B232" s="48"/>
    </row>
    <row r="233" spans="1:54" hidden="1" outlineLevel="1">
      <c r="B233" s="48"/>
    </row>
    <row r="234" spans="1:54" ht="15" collapsed="1">
      <c r="B234" s="48"/>
      <c r="C234" s="14"/>
      <c r="D234" s="14"/>
      <c r="E234" s="14"/>
      <c r="F234" s="14"/>
      <c r="G234" s="14"/>
      <c r="I234" s="45">
        <f>I1</f>
        <v>3</v>
      </c>
      <c r="J234" s="45">
        <f>J157</f>
        <v>0</v>
      </c>
      <c r="AS234" s="40" t="str">
        <f>IF(AND(P204=12,SUM(AS199:AS201)&lt;&gt;6),"UEFA / Fairplay / Los ?","")</f>
        <v/>
      </c>
    </row>
    <row r="235" spans="1:54" ht="15" collapsed="1" thickBot="1">
      <c r="B235" s="48"/>
      <c r="C235" s="14"/>
      <c r="D235" s="14"/>
      <c r="E235" s="14"/>
      <c r="F235" s="14"/>
      <c r="G235" s="14"/>
      <c r="I235" s="45"/>
      <c r="J235" s="45"/>
    </row>
    <row r="236" spans="1:54" ht="18">
      <c r="B236" s="47" t="s">
        <v>27</v>
      </c>
      <c r="C236" s="1">
        <v>1</v>
      </c>
      <c r="D236" s="46" t="str">
        <f>B238</f>
        <v>Deutschland</v>
      </c>
      <c r="E236" s="46" t="str">
        <f>B239</f>
        <v>Portugal</v>
      </c>
      <c r="F236" s="69"/>
      <c r="G236" s="70"/>
      <c r="H236" s="246">
        <v>41806.75</v>
      </c>
      <c r="I236" s="1">
        <f>IF(F236="",0,IF(F236=G236,J$118,IF(F236&gt;G236,I$118,0)))</f>
        <v>0</v>
      </c>
      <c r="J236" s="1">
        <f>IF(G236="",0,IF(F236=G236,J$118,IF(F236&lt;G236,I$118,0)))</f>
        <v>0</v>
      </c>
      <c r="N236" s="7"/>
      <c r="O236" s="8"/>
      <c r="P236" s="9" t="s">
        <v>1</v>
      </c>
      <c r="Q236" s="9" t="s">
        <v>2</v>
      </c>
      <c r="R236" s="10" t="s">
        <v>3</v>
      </c>
      <c r="S236" s="11" t="s">
        <v>4</v>
      </c>
      <c r="T236" s="12" t="s">
        <v>5</v>
      </c>
      <c r="U236" s="10" t="s">
        <v>6</v>
      </c>
      <c r="V236" s="9" t="s">
        <v>7</v>
      </c>
      <c r="W236" s="13" t="s">
        <v>8</v>
      </c>
      <c r="Y236" s="14"/>
      <c r="Z236"/>
      <c r="AA236"/>
      <c r="AB236" s="15" t="s">
        <v>9</v>
      </c>
      <c r="AF236"/>
      <c r="AG236"/>
      <c r="AS236" s="7"/>
      <c r="AT236" s="8"/>
      <c r="AU236" s="9" t="s">
        <v>1</v>
      </c>
      <c r="AV236" s="9" t="s">
        <v>2</v>
      </c>
      <c r="AW236" s="10" t="s">
        <v>3</v>
      </c>
      <c r="AX236" s="11" t="s">
        <v>4</v>
      </c>
      <c r="AY236" s="12" t="s">
        <v>5</v>
      </c>
      <c r="AZ236" s="64" t="s">
        <v>6</v>
      </c>
      <c r="BA236" s="64" t="s">
        <v>7</v>
      </c>
      <c r="BB236" s="65" t="s">
        <v>8</v>
      </c>
    </row>
    <row r="237" spans="1:54">
      <c r="B237" s="48"/>
      <c r="C237" s="1">
        <v>2</v>
      </c>
      <c r="D237" s="46" t="str">
        <f>B240</f>
        <v>Ghana</v>
      </c>
      <c r="E237" s="46" t="str">
        <f>B241</f>
        <v>USA</v>
      </c>
      <c r="F237" s="69"/>
      <c r="G237" s="70"/>
      <c r="H237" s="245">
        <v>41806</v>
      </c>
      <c r="I237" s="1">
        <f>IF(F237="",0,IF(F237=G237,J$118,IF(F237&gt;G237,I$118,0)))</f>
        <v>0</v>
      </c>
      <c r="J237" s="1">
        <f>IF(G237="",0,IF(F237=G237,J$118,IF(F237&lt;G237,I$118,0)))</f>
        <v>0</v>
      </c>
      <c r="N237" s="16"/>
      <c r="O237" s="17"/>
      <c r="P237" s="14"/>
      <c r="Q237" s="17"/>
      <c r="R237" s="18"/>
      <c r="S237" s="18"/>
      <c r="T237" s="19"/>
      <c r="W237" s="20"/>
      <c r="Y237" s="14"/>
      <c r="Z237"/>
      <c r="AA237"/>
      <c r="AF237"/>
      <c r="AG237"/>
      <c r="AH237" s="21" t="s">
        <v>10</v>
      </c>
      <c r="AN237" s="21" t="s">
        <v>11</v>
      </c>
      <c r="AS237" s="16"/>
      <c r="AT237" s="17"/>
      <c r="AU237" s="14"/>
      <c r="AV237" s="17"/>
      <c r="AW237" s="18"/>
      <c r="AX237" s="18"/>
      <c r="AY237" s="19"/>
      <c r="BB237" s="66"/>
    </row>
    <row r="238" spans="1:54" ht="15">
      <c r="A238" s="71"/>
      <c r="B238" s="72" t="s">
        <v>25</v>
      </c>
      <c r="C238" s="1">
        <v>3</v>
      </c>
      <c r="D238" s="46" t="str">
        <f>B238</f>
        <v>Deutschland</v>
      </c>
      <c r="E238" s="46" t="str">
        <f>B240</f>
        <v>Ghana</v>
      </c>
      <c r="F238" s="69"/>
      <c r="G238" s="70"/>
      <c r="H238" s="246">
        <v>41811.875</v>
      </c>
      <c r="I238" s="1">
        <f>IF(F247="",0,IF(F247=G247,J$118,IF(F247&gt;G247,I$118,0)))</f>
        <v>0</v>
      </c>
      <c r="J238" s="1">
        <f>IF(G247="",0,IF(F247=G247,J$118,IF(F247&lt;G247,I$118,0)))</f>
        <v>0</v>
      </c>
      <c r="K238" s="1">
        <v>1</v>
      </c>
      <c r="L238" s="1">
        <f>IF(OR(Q$238+Q$239+Q$240=3*Q$238,Q$241+Q$239+Q$240=3*Q$241,AE238+AK238+AQ238=0),K238,AE238+AK238+AQ238)</f>
        <v>1</v>
      </c>
      <c r="M238" s="22">
        <f>INT(VLOOKUP($K238,$A$266:$G$270,2,0))</f>
        <v>10110</v>
      </c>
      <c r="N238" s="23">
        <f>1</f>
        <v>1</v>
      </c>
      <c r="O238" s="24" t="str">
        <f>VLOOKUP($K238,$A$266:$G$270,3,0)</f>
        <v>Deutschland</v>
      </c>
      <c r="P238" s="22">
        <f>VLOOKUP($K238,$A$266:$K$270,11,0)</f>
        <v>0</v>
      </c>
      <c r="Q238" s="25">
        <f>VLOOKUP($K238,$A$266:$G$270,4,0)</f>
        <v>0</v>
      </c>
      <c r="R238" s="18">
        <f>VLOOKUP($K238,$A$266:$G$270,5,0)</f>
        <v>0</v>
      </c>
      <c r="S238" s="18">
        <f>VLOOKUP($K238,$A$266:$G$270,6,0)</f>
        <v>0</v>
      </c>
      <c r="T238" s="19">
        <f>VLOOKUP($K238,$A$266:$G$270,7,0)</f>
        <v>0</v>
      </c>
      <c r="U238" s="14">
        <f>VLOOKUP($K238,$A$266:$M$270,12,0)</f>
        <v>0</v>
      </c>
      <c r="V238" s="1">
        <f>VLOOKUP($K238,$A$266:$M$270,13,0)</f>
        <v>0</v>
      </c>
      <c r="W238" s="20">
        <f>P238-U238-V238</f>
        <v>0</v>
      </c>
      <c r="X238" s="25" t="str">
        <f>VLOOKUP($K238,$A$266:$G$270,4,0)&amp;" "&amp;VLOOKUP($K238,$A$266:$P$270,15,0)</f>
        <v xml:space="preserve">0 </v>
      </c>
      <c r="Y238" s="1">
        <f>INT(VLOOKUP($K238,$A$266:$H$270,8,0))</f>
        <v>10000</v>
      </c>
      <c r="Z238" s="1">
        <f>IF(AND(Y$238=Y$239,OR(AND(D236=O$238,E236=O$239),AND(D236=O$239,E236=O$238))),1,0)</f>
        <v>1</v>
      </c>
      <c r="AA238" s="1" t="str">
        <f t="shared" ref="AA238:AA243" si="72">VLOOKUP($Z238,$C$236:$G$241,2,0)</f>
        <v>Deutschland</v>
      </c>
      <c r="AB238" s="1" t="str">
        <f t="shared" ref="AB238:AB243" si="73">VLOOKUP($Z238,$C$236:$G$241,3,0)</f>
        <v>Portugal</v>
      </c>
      <c r="AC238" s="1">
        <f t="shared" ref="AC238:AC243" si="74">VLOOKUP($Z238,$C$236:$G$241,4,0)</f>
        <v>0</v>
      </c>
      <c r="AD238" s="1">
        <f t="shared" ref="AD238:AD243" si="75">VLOOKUP($Z238,$C$236:$G$241,5,0)</f>
        <v>0</v>
      </c>
      <c r="AE238" s="1">
        <f>IF(ISERROR(AC245),0,IF(AC245=0,0,IF(OR(AND(AA245=O238,AC245&gt;0),AND(AB245=O238,AC245&lt;0)),1,2)))</f>
        <v>0</v>
      </c>
      <c r="AF238" s="1">
        <f>IF(AND($Y$239=$Y$240,OR(AND($D236=$O$239,$E236=$O$240),AND($D236=$O$240,$E236=$O$239))),1,0)</f>
        <v>0</v>
      </c>
      <c r="AG238" s="1" t="e">
        <f t="shared" ref="AG238:AG243" si="76">VLOOKUP($AF238,$C$236:$G$241,2,0)</f>
        <v>#N/A</v>
      </c>
      <c r="AH238" s="1" t="e">
        <f t="shared" ref="AH238:AH243" si="77">VLOOKUP($AF238,$C$236:$G$241,3,0)</f>
        <v>#N/A</v>
      </c>
      <c r="AI238" s="1" t="e">
        <f t="shared" ref="AI238:AI243" si="78">VLOOKUP($AF238,$C$236:$G$241,4,0)</f>
        <v>#N/A</v>
      </c>
      <c r="AJ238" s="1" t="e">
        <f t="shared" ref="AJ238:AJ243" si="79">VLOOKUP($AF238,$C$236:$G$241,5,0)</f>
        <v>#N/A</v>
      </c>
      <c r="AK238"/>
      <c r="AL238" s="1">
        <f>IF(AND($Y$240=$Y$241,OR(AND($D236=$O$240,$E236=$O$241),AND($D236=$O$241,$E236=$O$240))),1,0)</f>
        <v>0</v>
      </c>
      <c r="AM238" s="1" t="e">
        <f t="shared" ref="AM238:AM243" si="80">VLOOKUP($AL238,$C$236:$G$241,2,0)</f>
        <v>#N/A</v>
      </c>
      <c r="AN238" s="1" t="e">
        <f t="shared" ref="AN238:AN243" si="81">VLOOKUP($AL238,$C$236:$G$241,3,0)</f>
        <v>#N/A</v>
      </c>
      <c r="AO238" s="1" t="e">
        <f t="shared" ref="AO238:AO243" si="82">VLOOKUP($AL238,$C$236:$G$241,4,0)</f>
        <v>#N/A</v>
      </c>
      <c r="AP238" s="1" t="e">
        <f t="shared" ref="AP238:AP243" si="83">VLOOKUP($AL238,$C$236:$G$241,5,0)</f>
        <v>#N/A</v>
      </c>
      <c r="AS238" s="23">
        <v>1</v>
      </c>
      <c r="AT238" s="24" t="str">
        <f>VLOOKUP($K238,$L$238:$W$241,4,0)</f>
        <v>Deutschland</v>
      </c>
      <c r="AU238" s="22">
        <f>VLOOKUP($K238,$L$238:$W$241,5,0)</f>
        <v>0</v>
      </c>
      <c r="AV238" s="25" t="str">
        <f>VLOOKUP($K238,$L$238:$X$241,13,0)</f>
        <v xml:space="preserve">0 </v>
      </c>
      <c r="AW238" s="18">
        <f>VLOOKUP($K238,$L$238:$W$241,7,0)</f>
        <v>0</v>
      </c>
      <c r="AX238" s="18">
        <f>VLOOKUP($K238,$L$238:$W$241,8,0)</f>
        <v>0</v>
      </c>
      <c r="AY238" s="19">
        <f>VLOOKUP($K238,$L$238:$W$241,9,0)</f>
        <v>0</v>
      </c>
      <c r="AZ238" s="51">
        <f>VLOOKUP($K238,$L$238:$W$241,10,0)</f>
        <v>0</v>
      </c>
      <c r="BA238" s="22">
        <f>VLOOKUP($K238,$L$238:$W$241,11,0)</f>
        <v>0</v>
      </c>
      <c r="BB238" s="66">
        <f>VLOOKUP($K238,$L$238:$W$241,12,0)</f>
        <v>0</v>
      </c>
    </row>
    <row r="239" spans="1:54" ht="15">
      <c r="A239" s="71"/>
      <c r="B239" s="72" t="s">
        <v>41</v>
      </c>
      <c r="C239" s="1">
        <v>4</v>
      </c>
      <c r="D239" s="46" t="str">
        <f>B239</f>
        <v>Portugal</v>
      </c>
      <c r="E239" s="46" t="str">
        <f>B241</f>
        <v>USA</v>
      </c>
      <c r="F239" s="69"/>
      <c r="G239" s="70"/>
      <c r="H239" s="246">
        <v>41812.875</v>
      </c>
      <c r="I239" s="1">
        <f>IF(F238="",0,IF(F238=G238,J$118,IF(F238&gt;G238,I$118,0)))</f>
        <v>0</v>
      </c>
      <c r="J239" s="1">
        <f>IF(G238="",0,IF(F238=G238,J$118,IF(F238&lt;G238,I$118,0)))</f>
        <v>0</v>
      </c>
      <c r="K239" s="1">
        <v>2</v>
      </c>
      <c r="L239" s="1">
        <f>IF(OR(Q$238+Q$239+Q$240=3*Q$238,Q$241+Q$239+Q$240=3*Q$241,AE239+AK239+AQ239=0),K239,AE239+AK239+AQ239)</f>
        <v>2</v>
      </c>
      <c r="M239" s="22">
        <f>INT(VLOOKUP($K239,$A$266:$G$270,2,0))</f>
        <v>10110</v>
      </c>
      <c r="N239" s="23" t="str">
        <f>IF(M239=M238,"",K239)</f>
        <v/>
      </c>
      <c r="O239" s="24" t="str">
        <f>VLOOKUP($K239,$A$266:$G$270,3,0)</f>
        <v>Portugal</v>
      </c>
      <c r="P239" s="22">
        <f>VLOOKUP($K239,$A$266:$K$270,11,0)</f>
        <v>0</v>
      </c>
      <c r="Q239" s="25">
        <f>VLOOKUP($K239,$A$266:$G$270,4,0)</f>
        <v>0</v>
      </c>
      <c r="R239" s="18">
        <f>VLOOKUP($K239,$A$266:$G$270,5,0)</f>
        <v>0</v>
      </c>
      <c r="S239" s="18">
        <f>VLOOKUP($K239,$A$266:$G$270,6,0)</f>
        <v>0</v>
      </c>
      <c r="T239" s="19">
        <f>VLOOKUP($K239,$A$266:$G$270,7,0)</f>
        <v>0</v>
      </c>
      <c r="U239" s="14">
        <f>VLOOKUP($K239,$A$266:$M$270,12,0)</f>
        <v>0</v>
      </c>
      <c r="V239" s="1">
        <f>VLOOKUP($K239,$A$266:$M$270,13,0)</f>
        <v>0</v>
      </c>
      <c r="W239" s="20">
        <f>P239-U239-V239</f>
        <v>0</v>
      </c>
      <c r="X239" s="25" t="str">
        <f>VLOOKUP($K239,$A$266:$G$270,4,0)&amp;" "&amp;VLOOKUP($K239,$A$266:$P$270,15,0)</f>
        <v xml:space="preserve">0 </v>
      </c>
      <c r="Y239" s="1">
        <f>INT(VLOOKUP($K239,$A$266:$H$270,8,0))</f>
        <v>10000</v>
      </c>
      <c r="Z239" s="1">
        <f>IF(AND(Y$238=Y$239,OR(AND(D237=O$238,E237=O$239),AND(D237=O$239,E237=O$238))),2,0)</f>
        <v>0</v>
      </c>
      <c r="AA239" s="1" t="e">
        <f t="shared" si="72"/>
        <v>#N/A</v>
      </c>
      <c r="AB239" s="1" t="e">
        <f t="shared" si="73"/>
        <v>#N/A</v>
      </c>
      <c r="AC239" s="1" t="e">
        <f t="shared" si="74"/>
        <v>#N/A</v>
      </c>
      <c r="AD239" s="1" t="e">
        <f t="shared" si="75"/>
        <v>#N/A</v>
      </c>
      <c r="AE239" s="1">
        <f>IF(AE238=2,1,IF(AE238=1,2,0))</f>
        <v>0</v>
      </c>
      <c r="AF239" s="1">
        <f>IF(AND(Y$239=Y$240,OR(AND(D237=O$239,E237=O$240),AND(D237=O$240,E237=O$239))),2,0)</f>
        <v>0</v>
      </c>
      <c r="AG239" s="1" t="e">
        <f t="shared" si="76"/>
        <v>#N/A</v>
      </c>
      <c r="AH239" s="1" t="e">
        <f t="shared" si="77"/>
        <v>#N/A</v>
      </c>
      <c r="AI239" s="1" t="e">
        <f t="shared" si="78"/>
        <v>#N/A</v>
      </c>
      <c r="AJ239" s="1" t="e">
        <f t="shared" si="79"/>
        <v>#N/A</v>
      </c>
      <c r="AK239" s="1">
        <f>IF(ISERROR(AI245),0,IF(AI245=0,0,IF(OR(AND(AG245=O239,AI245&gt;0),AND(AH245=O239,AI245&lt;0)),2,3)))</f>
        <v>0</v>
      </c>
      <c r="AL239" s="1">
        <f>IF(AND($Y$240=$Y$241,OR(AND($D237=$O$240,$E237=$O$241),AND($D237=$O$241,$E237=$O$240))),2,0)</f>
        <v>2</v>
      </c>
      <c r="AM239" s="1" t="str">
        <f t="shared" si="80"/>
        <v>Ghana</v>
      </c>
      <c r="AN239" s="1" t="str">
        <f t="shared" si="81"/>
        <v>USA</v>
      </c>
      <c r="AO239" s="1">
        <f t="shared" si="82"/>
        <v>0</v>
      </c>
      <c r="AP239" s="1">
        <f t="shared" si="83"/>
        <v>0</v>
      </c>
      <c r="AQ239"/>
      <c r="AR239"/>
      <c r="AS239" s="23" t="str">
        <f>IF(AND(OR(AR245=1,AE239+AK239+AQ239=0),M239=M238),"",2)</f>
        <v/>
      </c>
      <c r="AT239" s="24" t="str">
        <f>VLOOKUP($K239,$L$238:$W$241,4,0)</f>
        <v>Portugal</v>
      </c>
      <c r="AU239" s="22">
        <f>VLOOKUP($K239,$L$238:$W$241,5,0)</f>
        <v>0</v>
      </c>
      <c r="AV239" s="25" t="str">
        <f>VLOOKUP($K239,$L$238:$X$241,13,0)</f>
        <v xml:space="preserve">0 </v>
      </c>
      <c r="AW239" s="18">
        <f>VLOOKUP($K239,$L$238:$W$241,7,0)</f>
        <v>0</v>
      </c>
      <c r="AX239" s="18">
        <f>VLOOKUP($K239,$L$238:$W$241,8,0)</f>
        <v>0</v>
      </c>
      <c r="AY239" s="19">
        <f>VLOOKUP($K239,$L$238:$W$241,9,0)</f>
        <v>0</v>
      </c>
      <c r="AZ239" s="51">
        <f>VLOOKUP($K239,$L$238:$W$241,10,0)</f>
        <v>0</v>
      </c>
      <c r="BA239" s="22">
        <f>VLOOKUP($K239,$L$238:$W$241,11,0)</f>
        <v>0</v>
      </c>
      <c r="BB239" s="66">
        <f>VLOOKUP($K239,$L$238:$W$241,12,0)</f>
        <v>0</v>
      </c>
    </row>
    <row r="240" spans="1:54" ht="15">
      <c r="A240" s="71"/>
      <c r="B240" s="72" t="s">
        <v>43</v>
      </c>
      <c r="C240" s="1">
        <v>5</v>
      </c>
      <c r="D240" s="46" t="str">
        <f>B238</f>
        <v>Deutschland</v>
      </c>
      <c r="E240" s="46" t="str">
        <f>B241</f>
        <v>USA</v>
      </c>
      <c r="F240" s="69"/>
      <c r="G240" s="70"/>
      <c r="H240" s="246">
        <v>41816.75</v>
      </c>
      <c r="I240" s="1">
        <f>IF(F248="",0,IF(F248=G248,J$118,IF(F248&gt;G248,I$118,0)))</f>
        <v>0</v>
      </c>
      <c r="J240" s="1">
        <f>IF(G248="",0,IF(F248=G248,J$118,IF(F248&lt;G248,I$118,0)))</f>
        <v>0</v>
      </c>
      <c r="K240" s="1">
        <v>3</v>
      </c>
      <c r="L240" s="1">
        <f>IF(OR(Q$238+Q$239+Q$240=3*Q$238,Q$241+Q$239+Q$240=3*Q$241,AE240+AK240+AQ240=0),K240,AE240+AK240+AQ240)</f>
        <v>3</v>
      </c>
      <c r="M240" s="22">
        <f>INT(VLOOKUP($K240,$A$266:$G$270,2,0))</f>
        <v>10110</v>
      </c>
      <c r="N240" s="23" t="str">
        <f>IF(M240=M239,"",K240)</f>
        <v/>
      </c>
      <c r="O240" s="24" t="str">
        <f>VLOOKUP($K240,$A$266:$G$270,3,0)</f>
        <v>Ghana</v>
      </c>
      <c r="P240" s="22">
        <f>VLOOKUP($K240,$A$266:$K$270,11,0)</f>
        <v>0</v>
      </c>
      <c r="Q240" s="25">
        <f>VLOOKUP($K240,$A$266:$G$270,4,0)</f>
        <v>0</v>
      </c>
      <c r="R240" s="18">
        <f>VLOOKUP($K240,$A$266:$G$270,5,0)</f>
        <v>0</v>
      </c>
      <c r="S240" s="18">
        <f>VLOOKUP($K240,$A$266:$G$270,6,0)</f>
        <v>0</v>
      </c>
      <c r="T240" s="19">
        <f>VLOOKUP($K240,$A$266:$G$270,7,0)</f>
        <v>0</v>
      </c>
      <c r="U240" s="14">
        <f>VLOOKUP($K240,$A$266:$M$270,12,0)</f>
        <v>0</v>
      </c>
      <c r="V240" s="1">
        <f>VLOOKUP($K240,$A$266:$M$270,13,0)</f>
        <v>0</v>
      </c>
      <c r="W240" s="20">
        <f>P240-U240-V240</f>
        <v>0</v>
      </c>
      <c r="X240" s="25" t="str">
        <f>VLOOKUP($K240,$A$266:$G$270,4,0)&amp;" "&amp;VLOOKUP($K240,$A$266:$P$270,15,0)</f>
        <v xml:space="preserve">0 </v>
      </c>
      <c r="Y240" s="1">
        <f>INT(VLOOKUP($K240,$A$266:$H$270,8,0))</f>
        <v>10000</v>
      </c>
      <c r="Z240" s="1">
        <f>IF(AND(Y$238=Y$239,OR(AND(D238=O$238,E238=O$239),AND(D238=O$239,E238=O$238))),3,0)</f>
        <v>0</v>
      </c>
      <c r="AA240" s="1" t="e">
        <f t="shared" si="72"/>
        <v>#N/A</v>
      </c>
      <c r="AB240" s="1" t="e">
        <f t="shared" si="73"/>
        <v>#N/A</v>
      </c>
      <c r="AC240" s="1" t="e">
        <f t="shared" si="74"/>
        <v>#N/A</v>
      </c>
      <c r="AD240" s="1" t="e">
        <f t="shared" si="75"/>
        <v>#N/A</v>
      </c>
      <c r="AF240" s="1">
        <f>IF(AND(Y$239=Y$240,OR(AND(D238=O$239,E238=O$240),AND(D238=O$240,E238=O$239))),3,0)</f>
        <v>0</v>
      </c>
      <c r="AG240" s="1" t="e">
        <f t="shared" si="76"/>
        <v>#N/A</v>
      </c>
      <c r="AH240" s="1" t="e">
        <f t="shared" si="77"/>
        <v>#N/A</v>
      </c>
      <c r="AI240" s="1" t="e">
        <f t="shared" si="78"/>
        <v>#N/A</v>
      </c>
      <c r="AJ240" s="1" t="e">
        <f t="shared" si="79"/>
        <v>#N/A</v>
      </c>
      <c r="AK240" s="1">
        <f>IF(AK239=3,2,IF(AK239=2,3,0))</f>
        <v>0</v>
      </c>
      <c r="AL240" s="1">
        <f>IF(AND($Y$240=$Y$241,OR(AND($D238=$O$240,$E238=$O$241),AND($D238=$O$241,$E238=$O$240))),3,0)</f>
        <v>0</v>
      </c>
      <c r="AM240" s="1" t="e">
        <f t="shared" si="80"/>
        <v>#N/A</v>
      </c>
      <c r="AN240" s="1" t="e">
        <f t="shared" si="81"/>
        <v>#N/A</v>
      </c>
      <c r="AO240" s="1" t="e">
        <f t="shared" si="82"/>
        <v>#N/A</v>
      </c>
      <c r="AP240" s="1" t="e">
        <f t="shared" si="83"/>
        <v>#N/A</v>
      </c>
      <c r="AQ240" s="1">
        <f>IF(ISERROR(AO245),0,IF(AO245=0,0,IF(OR(AND(AM245=O240,AO245&gt;0),AND(AN245=O240,AO245&lt;0)),3,4)))</f>
        <v>0</v>
      </c>
      <c r="AS240" s="23" t="str">
        <f>IF(AND(OR(AR246=1,AE240+AK240+AQ240=0),M240=M239),"",3)</f>
        <v/>
      </c>
      <c r="AT240" s="24" t="str">
        <f>VLOOKUP($K240,$L$238:$W$241,4,0)</f>
        <v>Ghana</v>
      </c>
      <c r="AU240" s="22">
        <f>VLOOKUP($K240,$L$238:$W$241,5,0)</f>
        <v>0</v>
      </c>
      <c r="AV240" s="25" t="str">
        <f>VLOOKUP($K240,$L$238:$X$241,13,0)</f>
        <v xml:space="preserve">0 </v>
      </c>
      <c r="AW240" s="18">
        <f>VLOOKUP($K240,$L$238:$W$241,7,0)</f>
        <v>0</v>
      </c>
      <c r="AX240" s="18">
        <f>VLOOKUP($K240,$L$238:$W$241,8,0)</f>
        <v>0</v>
      </c>
      <c r="AY240" s="19">
        <f>VLOOKUP($K240,$L$238:$W$241,9,0)</f>
        <v>0</v>
      </c>
      <c r="AZ240" s="51">
        <f>VLOOKUP($K240,$L$238:$W$241,10,0)</f>
        <v>0</v>
      </c>
      <c r="BA240" s="22">
        <f>VLOOKUP($K240,$L$238:$W$241,11,0)</f>
        <v>0</v>
      </c>
      <c r="BB240" s="66">
        <f>VLOOKUP($K240,$L$238:$W$241,12,0)</f>
        <v>0</v>
      </c>
    </row>
    <row r="241" spans="1:54" ht="15.75" thickBot="1">
      <c r="A241" s="71"/>
      <c r="B241" s="72" t="s">
        <v>44</v>
      </c>
      <c r="C241" s="1">
        <v>6</v>
      </c>
      <c r="D241" s="46" t="str">
        <f>B239</f>
        <v>Portugal</v>
      </c>
      <c r="E241" s="46" t="str">
        <f>B240</f>
        <v>Ghana</v>
      </c>
      <c r="F241" s="69"/>
      <c r="G241" s="70"/>
      <c r="H241" s="246">
        <v>41816.75</v>
      </c>
      <c r="I241" s="1">
        <f>IF(F239="",0,IF(F239=G239,J$118,IF(F239&gt;G239,I$118,0)))</f>
        <v>0</v>
      </c>
      <c r="J241" s="1">
        <f>IF(G239="",0,IF(F239=G239,J$118,IF(F239&lt;G239,I$118,0)))</f>
        <v>0</v>
      </c>
      <c r="K241" s="1">
        <v>4</v>
      </c>
      <c r="L241" s="1">
        <f>IF(OR(Q$238+Q$239+Q$240=3*Q$238,Q$241+Q$239+Q$240=3*Q$241,AE241+AK241+AQ241=0),K241,AE241+AK241+AQ241)</f>
        <v>4</v>
      </c>
      <c r="M241" s="22">
        <f>INT(VLOOKUP($K241,$A$266:$G$270,2,0))</f>
        <v>10110</v>
      </c>
      <c r="N241" s="26" t="str">
        <f>IF(M241=M240,"",K241)</f>
        <v/>
      </c>
      <c r="O241" s="27" t="str">
        <f>VLOOKUP($K241,$A$266:$G$270,3,0)</f>
        <v>USA</v>
      </c>
      <c r="P241" s="28">
        <f>VLOOKUP($K241,$A$266:$K$270,11,0)</f>
        <v>0</v>
      </c>
      <c r="Q241" s="25">
        <f>VLOOKUP($K241,$A$266:$G$270,4,0)</f>
        <v>0</v>
      </c>
      <c r="R241" s="30">
        <f>VLOOKUP($K241,$A$266:$G$270,5,0)</f>
        <v>0</v>
      </c>
      <c r="S241" s="30">
        <f>VLOOKUP($K241,$A$266:$G$270,6,0)</f>
        <v>0</v>
      </c>
      <c r="T241" s="31">
        <f>VLOOKUP($K241,$A$266:$G$270,7,0)</f>
        <v>0</v>
      </c>
      <c r="U241" s="32">
        <f>VLOOKUP($K241,$A$266:$M$270,12,0)</f>
        <v>0</v>
      </c>
      <c r="V241" s="33">
        <f>VLOOKUP($K241,$A$266:$M$270,13,0)</f>
        <v>0</v>
      </c>
      <c r="W241" s="34">
        <f>P241-U241-V241</f>
        <v>0</v>
      </c>
      <c r="X241" s="25" t="str">
        <f>VLOOKUP($K241,$A$266:$G$270,4,0)&amp;" "&amp;VLOOKUP($K241,$A$266:$P$270,15,0)</f>
        <v xml:space="preserve">0 </v>
      </c>
      <c r="Y241" s="1">
        <f>INT(VLOOKUP($K241,$A$266:$H$270,8,0))</f>
        <v>10000</v>
      </c>
      <c r="Z241" s="1">
        <f>IF(AND(Y$238=Y$239,OR(AND(D239=O$238,E239=O$239),AND(D239=O$239,E239=O$238))),4,0)</f>
        <v>0</v>
      </c>
      <c r="AA241" s="1" t="e">
        <f t="shared" si="72"/>
        <v>#N/A</v>
      </c>
      <c r="AB241" s="1" t="e">
        <f t="shared" si="73"/>
        <v>#N/A</v>
      </c>
      <c r="AC241" s="1" t="e">
        <f t="shared" si="74"/>
        <v>#N/A</v>
      </c>
      <c r="AD241" s="1" t="e">
        <f t="shared" si="75"/>
        <v>#N/A</v>
      </c>
      <c r="AF241" s="1">
        <f>IF(AND(Y$239=Y$240,OR(AND(D239=O$239,E239=O$240),AND(D239=O$240,E239=O$239))),4,0)</f>
        <v>0</v>
      </c>
      <c r="AG241" s="1" t="e">
        <f t="shared" si="76"/>
        <v>#N/A</v>
      </c>
      <c r="AH241" s="1" t="e">
        <f t="shared" si="77"/>
        <v>#N/A</v>
      </c>
      <c r="AI241" s="1" t="e">
        <f t="shared" si="78"/>
        <v>#N/A</v>
      </c>
      <c r="AJ241" s="1" t="e">
        <f t="shared" si="79"/>
        <v>#N/A</v>
      </c>
      <c r="AL241" s="1">
        <f>IF(AND($Y$240=$Y$241,OR(AND($D239=$O$240,$E239=$O$241),AND($D239=$O$241,$E239=$O$240))),4,0)</f>
        <v>0</v>
      </c>
      <c r="AM241" s="1" t="e">
        <f t="shared" si="80"/>
        <v>#N/A</v>
      </c>
      <c r="AN241" s="1" t="e">
        <f t="shared" si="81"/>
        <v>#N/A</v>
      </c>
      <c r="AO241" s="1" t="e">
        <f t="shared" si="82"/>
        <v>#N/A</v>
      </c>
      <c r="AP241" s="1" t="e">
        <f t="shared" si="83"/>
        <v>#N/A</v>
      </c>
      <c r="AQ241" s="1">
        <f>IF(AQ240=4,3,IF(AQ240=3,4,0))</f>
        <v>0</v>
      </c>
      <c r="AS241" s="26" t="str">
        <f>IF(AND(OR(AR247=1,AE241+AK241+AQ241=0),M241=M240),"",4)</f>
        <v/>
      </c>
      <c r="AT241" s="27" t="str">
        <f>VLOOKUP($K241,$L$238:$W$241,4,0)</f>
        <v>USA</v>
      </c>
      <c r="AU241" s="35">
        <f>VLOOKUP($K241,$L$238:$W$241,5,0)</f>
        <v>0</v>
      </c>
      <c r="AV241" s="29" t="str">
        <f>VLOOKUP($K241,$L$238:$X$241,13,0)</f>
        <v xml:space="preserve">0 </v>
      </c>
      <c r="AW241" s="30">
        <f>VLOOKUP($K241,$L$238:$W$241,7,0)</f>
        <v>0</v>
      </c>
      <c r="AX241" s="30">
        <f>VLOOKUP($K241,$L$238:$W$241,8,0)</f>
        <v>0</v>
      </c>
      <c r="AY241" s="31">
        <f>VLOOKUP($K241,$L$238:$W$241,9,0)</f>
        <v>0</v>
      </c>
      <c r="AZ241" s="67">
        <f>VLOOKUP($K241,$L$238:$W$241,10,0)</f>
        <v>0</v>
      </c>
      <c r="BA241" s="35">
        <f>VLOOKUP($K241,$L$238:$W$241,11,0)</f>
        <v>0</v>
      </c>
      <c r="BB241" s="68">
        <f>VLOOKUP($K241,$L$238:$W$241,12,0)</f>
        <v>0</v>
      </c>
    </row>
    <row r="242" spans="1:54" ht="15">
      <c r="B242" s="48"/>
      <c r="D242" s="14"/>
      <c r="E242" s="14"/>
      <c r="F242" s="14"/>
      <c r="G242" s="14"/>
      <c r="I242" s="1">
        <f>IF(F240="",0,IF(F240=G240,J$118,IF(F240&gt;G240,I$118,0)))</f>
        <v>0</v>
      </c>
      <c r="J242" s="1">
        <f>IF(G240="",0,IF(F240=G240,J$118,IF(F240&lt;G240,I$118,0)))</f>
        <v>0</v>
      </c>
      <c r="K242" s="1">
        <v>5</v>
      </c>
      <c r="M242" s="22">
        <f>INT(VLOOKUP($K242,$A$266:$G$270,2,0))</f>
        <v>10510</v>
      </c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Z242" s="1">
        <f>IF(AND(Y$238=Y$239,OR(AND(D240=O$238,E240=O$239),AND(D240=O$239,E240=O$238))),5,0)</f>
        <v>0</v>
      </c>
      <c r="AA242" s="1" t="e">
        <f t="shared" si="72"/>
        <v>#N/A</v>
      </c>
      <c r="AB242" s="1" t="e">
        <f t="shared" si="73"/>
        <v>#N/A</v>
      </c>
      <c r="AC242" s="1" t="e">
        <f t="shared" si="74"/>
        <v>#N/A</v>
      </c>
      <c r="AD242" s="1" t="e">
        <f t="shared" si="75"/>
        <v>#N/A</v>
      </c>
      <c r="AF242" s="1">
        <f>IF(AND(Y$239=Y$240,OR(AND(D240=O$239,E240=O$240),AND(D240=O$240,E240=O$239))),5,0)</f>
        <v>0</v>
      </c>
      <c r="AG242" s="1" t="e">
        <f t="shared" si="76"/>
        <v>#N/A</v>
      </c>
      <c r="AH242" s="1" t="e">
        <f t="shared" si="77"/>
        <v>#N/A</v>
      </c>
      <c r="AI242" s="1" t="e">
        <f t="shared" si="78"/>
        <v>#N/A</v>
      </c>
      <c r="AJ242" s="1" t="e">
        <f t="shared" si="79"/>
        <v>#N/A</v>
      </c>
      <c r="AL242" s="1">
        <f>IF(AND($Y$240=$Y$241,OR(AND($D240=$O$240,$E240=$O$241),AND($D240=$O$241,$E240=$O$240))),5,0)</f>
        <v>0</v>
      </c>
      <c r="AM242" s="1" t="e">
        <f t="shared" si="80"/>
        <v>#N/A</v>
      </c>
      <c r="AN242" s="1" t="e">
        <f t="shared" si="81"/>
        <v>#N/A</v>
      </c>
      <c r="AO242" s="1" t="e">
        <f t="shared" si="82"/>
        <v>#N/A</v>
      </c>
      <c r="AP242" s="1" t="e">
        <f t="shared" si="83"/>
        <v>#N/A</v>
      </c>
      <c r="AS242" s="40" t="str">
        <f>IF(AND(P243=12,SUM(AS238:AS240)&lt;&gt;6),"UEFA / Fairplay / Los !","")</f>
        <v/>
      </c>
      <c r="AT242" s="24"/>
      <c r="AU242" s="22"/>
      <c r="AV242" s="25"/>
      <c r="AW242" s="18"/>
    </row>
    <row r="243" spans="1:54" hidden="1" outlineLevel="1">
      <c r="B243" s="48"/>
      <c r="D243" s="14"/>
      <c r="E243" s="14"/>
      <c r="F243" s="14"/>
      <c r="G243" s="14"/>
      <c r="I243" s="1">
        <f>IF(F249="",0,IF(F249=G249,J$118,IF(F249&gt;G249,I$118,0)))</f>
        <v>0</v>
      </c>
      <c r="J243" s="1">
        <f>IF(G249="",0,IF(F249=G249,J$118,IF(F249&lt;G249,I$118,0)))</f>
        <v>0</v>
      </c>
      <c r="P243" s="1">
        <f>SUM(P238:P242)</f>
        <v>0</v>
      </c>
      <c r="Z243" s="1">
        <f>IF(AND(Y$238=Y$239,OR(AND(D241=O$238,E241=O$239),AND(D241=O$239,E241=O$238))),6,0)</f>
        <v>0</v>
      </c>
      <c r="AA243" s="1" t="e">
        <f t="shared" si="72"/>
        <v>#N/A</v>
      </c>
      <c r="AB243" s="1" t="e">
        <f t="shared" si="73"/>
        <v>#N/A</v>
      </c>
      <c r="AC243" s="1" t="e">
        <f t="shared" si="74"/>
        <v>#N/A</v>
      </c>
      <c r="AD243" s="1" t="e">
        <f t="shared" si="75"/>
        <v>#N/A</v>
      </c>
      <c r="AF243" s="1">
        <f>IF(AND(Y$239=Y$240,OR(AND(D241=O$239,E241=O$240),AND(D241=O$240,E241=O$239))),6,0)</f>
        <v>6</v>
      </c>
      <c r="AG243" s="1" t="str">
        <f t="shared" si="76"/>
        <v>Portugal</v>
      </c>
      <c r="AH243" s="1" t="str">
        <f t="shared" si="77"/>
        <v>Ghana</v>
      </c>
      <c r="AI243" s="1">
        <f t="shared" si="78"/>
        <v>0</v>
      </c>
      <c r="AJ243" s="1">
        <f t="shared" si="79"/>
        <v>0</v>
      </c>
      <c r="AL243" s="1">
        <f>IF(AND($Y$240=$Y$241,OR(AND($D241=$O$240,$E241=$O$241),AND($D241=$O$241,$E241=$O$240))),6,0)</f>
        <v>0</v>
      </c>
      <c r="AM243" s="1" t="e">
        <f t="shared" si="80"/>
        <v>#N/A</v>
      </c>
      <c r="AN243" s="1" t="e">
        <f t="shared" si="81"/>
        <v>#N/A</v>
      </c>
      <c r="AO243" s="1" t="e">
        <f t="shared" si="82"/>
        <v>#N/A</v>
      </c>
      <c r="AP243" s="1" t="e">
        <f t="shared" si="83"/>
        <v>#N/A</v>
      </c>
      <c r="AR243" s="1">
        <f>IF(ISERROR(AC245),0,1)+IF(ISERROR(AI245),0,1)</f>
        <v>2</v>
      </c>
    </row>
    <row r="244" spans="1:54" hidden="1" outlineLevel="1">
      <c r="B244" s="48"/>
      <c r="D244" s="14"/>
      <c r="E244" s="14"/>
      <c r="F244" s="14"/>
      <c r="G244" s="14"/>
      <c r="I244" s="1">
        <f>IF(F241="",0,IF(F241=G241,J$118,IF(F241&gt;G241,I$118,0)))</f>
        <v>0</v>
      </c>
      <c r="J244" s="1">
        <f>IF(G241="",0,IF(F241=G241,J$118,IF(F241&lt;G241,I$118,0)))</f>
        <v>0</v>
      </c>
      <c r="AB244"/>
      <c r="AR244" s="1">
        <f>IF(ISERROR(AO245),0,1)+IF(ISERROR(AI245),0,1)</f>
        <v>2</v>
      </c>
    </row>
    <row r="245" spans="1:54" hidden="1" outlineLevel="1">
      <c r="B245" s="48"/>
      <c r="D245" s="14"/>
      <c r="E245" s="14"/>
      <c r="F245" s="14"/>
      <c r="G245" s="14"/>
      <c r="I245" s="1">
        <f>IF(F250="",0,IF(F250=G250,J$118,IF(F250&gt;G250,I$118,0)))</f>
        <v>0</v>
      </c>
      <c r="J245" s="1">
        <f>IF(G250="",0,IF(F250=G250,J$118,IF(F250&lt;G250,I$118,0)))</f>
        <v>0</v>
      </c>
      <c r="Z245" s="1">
        <f>MAX(Z238:Z243)</f>
        <v>1</v>
      </c>
      <c r="AA245" s="1" t="str">
        <f>VLOOKUP(Z245,Z238:AD243,2,0)</f>
        <v>Deutschland</v>
      </c>
      <c r="AB245" s="1" t="str">
        <f>VLOOKUP(Z245,Z238:AD243,3,0)</f>
        <v>Portugal</v>
      </c>
      <c r="AC245" s="1">
        <f>VLOOKUP(Z245,Z238:AD243,4,0)-VLOOKUP(Z245,Z238:AD243,5,0)</f>
        <v>0</v>
      </c>
      <c r="AF245" s="1">
        <f>MAX(AF238:AF243)</f>
        <v>6</v>
      </c>
      <c r="AG245" s="1" t="str">
        <f>VLOOKUP(AF245,AF238:AJ243,2,0)</f>
        <v>Portugal</v>
      </c>
      <c r="AH245" s="1" t="str">
        <f>VLOOKUP(AF245,AF238:AJ243,3,0)</f>
        <v>Ghana</v>
      </c>
      <c r="AI245" s="1">
        <f>VLOOKUP(AF245,AF238:AJ243,4,0)-VLOOKUP(AF245,AF238:AJ243,5,0)</f>
        <v>0</v>
      </c>
      <c r="AL245" s="1">
        <f>MAX(AL238:AL243)</f>
        <v>2</v>
      </c>
      <c r="AM245" s="1" t="str">
        <f>VLOOKUP(AL245,AL238:AP243,2,0)</f>
        <v>Ghana</v>
      </c>
      <c r="AN245" s="1" t="str">
        <f>VLOOKUP(AL245,AL238:AP243,3,0)</f>
        <v>USA</v>
      </c>
      <c r="AO245" s="1">
        <f>VLOOKUP(AL245,AL238:AP243,4,0)-VLOOKUP(AL245,AL238:AP243,5,0)</f>
        <v>0</v>
      </c>
      <c r="AR245" s="1">
        <f>IF(OR(AR243=2,AR244=2),1,0)</f>
        <v>1</v>
      </c>
    </row>
    <row r="246" spans="1:54" hidden="1" outlineLevel="1">
      <c r="B246" s="48"/>
    </row>
    <row r="247" spans="1:54" ht="15.75" hidden="1" outlineLevel="1" thickBot="1">
      <c r="B247" s="49" t="s">
        <v>12</v>
      </c>
      <c r="D247" s="3" t="str">
        <f>B$247</f>
        <v>#######</v>
      </c>
      <c r="E247" s="3" t="str">
        <f>B238</f>
        <v>Deutschland</v>
      </c>
      <c r="F247" s="5"/>
      <c r="G247" s="6"/>
      <c r="N247" s="26">
        <f>IF(M242=M241,"",K242)</f>
        <v>5</v>
      </c>
      <c r="O247" s="27" t="str">
        <f>VLOOKUP($K242,$A$266:$G$270,3,0)</f>
        <v>#######</v>
      </c>
      <c r="P247" s="28">
        <f>VLOOKUP($K242,$A$266:$K$270,11,0)</f>
        <v>0</v>
      </c>
      <c r="Q247" s="29">
        <f>VLOOKUP($K242,$A$266:$G$270,4,0)</f>
        <v>0</v>
      </c>
      <c r="R247" s="30">
        <f>VLOOKUP($K242,$A$266:$G$270,5,0)</f>
        <v>-100</v>
      </c>
      <c r="S247" s="30">
        <f>VLOOKUP($K242,$A$266:$G$270,6,0)</f>
        <v>0</v>
      </c>
      <c r="T247" s="31">
        <f>VLOOKUP($K242,$A$266:$G$270,7,0)</f>
        <v>-100</v>
      </c>
      <c r="U247" s="32">
        <f>VLOOKUP($K242,$A$266:$M$270,12,0)</f>
        <v>0</v>
      </c>
      <c r="V247" s="33">
        <f>VLOOKUP($K242,$A$266:$M$270,13,0)</f>
        <v>0</v>
      </c>
      <c r="W247" s="34">
        <f>P247-U247-V247</f>
        <v>0</v>
      </c>
    </row>
    <row r="248" spans="1:54" hidden="1" outlineLevel="1">
      <c r="B248" s="48"/>
      <c r="D248" s="3" t="str">
        <f>B$241</f>
        <v>USA</v>
      </c>
      <c r="E248" s="3" t="str">
        <f>B247</f>
        <v>#######</v>
      </c>
      <c r="F248" s="5"/>
      <c r="G248" s="6"/>
      <c r="AA248" s="5"/>
      <c r="AB248" s="6"/>
    </row>
    <row r="249" spans="1:54" hidden="1" outlineLevel="1">
      <c r="B249" s="48"/>
      <c r="D249" s="3" t="str">
        <f>B247</f>
        <v>#######</v>
      </c>
      <c r="E249" s="3" t="str">
        <f>B239</f>
        <v>Portugal</v>
      </c>
      <c r="F249" s="5"/>
      <c r="G249" s="6"/>
      <c r="AA249" s="5"/>
      <c r="AB249" s="6"/>
    </row>
    <row r="250" spans="1:54" hidden="1" outlineLevel="1">
      <c r="B250" s="48"/>
      <c r="D250" s="3" t="str">
        <f>B240</f>
        <v>Ghana</v>
      </c>
      <c r="E250" s="3" t="str">
        <f>B247</f>
        <v>#######</v>
      </c>
      <c r="F250" s="5"/>
      <c r="G250" s="6"/>
      <c r="AA250" s="5"/>
      <c r="AB250" s="6"/>
    </row>
    <row r="251" spans="1:54" hidden="1" outlineLevel="1">
      <c r="B251" s="48"/>
      <c r="AA251" s="5"/>
      <c r="AB251" s="6"/>
    </row>
    <row r="252" spans="1:54" hidden="1" outlineLevel="1">
      <c r="B252" s="48"/>
      <c r="D252" s="3" t="str">
        <f>B238</f>
        <v>Deutschland</v>
      </c>
      <c r="G252" s="1" t="str">
        <f>B239</f>
        <v>Portugal</v>
      </c>
      <c r="J252" s="1" t="str">
        <f>B240</f>
        <v>Ghana</v>
      </c>
      <c r="M252" s="1" t="str">
        <f>B241</f>
        <v>USA</v>
      </c>
      <c r="P252" s="1" t="str">
        <f>B247</f>
        <v>#######</v>
      </c>
      <c r="AA252" s="5"/>
      <c r="AB252" s="6"/>
    </row>
    <row r="253" spans="1:54" hidden="1" outlineLevel="1">
      <c r="B253" s="48"/>
      <c r="D253" s="3" t="s">
        <v>13</v>
      </c>
      <c r="E253" s="36" t="s">
        <v>4</v>
      </c>
      <c r="F253" s="21" t="s">
        <v>14</v>
      </c>
      <c r="G253" s="22" t="s">
        <v>13</v>
      </c>
      <c r="H253" s="60" t="s">
        <v>4</v>
      </c>
      <c r="I253" s="21" t="s">
        <v>14</v>
      </c>
      <c r="J253" s="22" t="s">
        <v>13</v>
      </c>
      <c r="K253" s="37" t="s">
        <v>4</v>
      </c>
      <c r="L253" s="21" t="s">
        <v>14</v>
      </c>
      <c r="M253" s="22" t="s">
        <v>13</v>
      </c>
      <c r="N253" s="37" t="s">
        <v>4</v>
      </c>
      <c r="O253" s="21" t="s">
        <v>14</v>
      </c>
      <c r="P253" s="22" t="s">
        <v>13</v>
      </c>
      <c r="Q253" s="37" t="s">
        <v>4</v>
      </c>
      <c r="R253" s="21" t="s">
        <v>14</v>
      </c>
      <c r="AA253" s="5"/>
      <c r="AB253" s="6"/>
    </row>
    <row r="254" spans="1:54" hidden="1" outlineLevel="1">
      <c r="B254" s="48"/>
      <c r="D254" s="3" t="str">
        <f>IF(AND(OR($D236=D$252,$E236=D$252),$F236=""),"A",IF($D236=D$252,$I236,0)+IF($E236=D$252,$J236,0))</f>
        <v>A</v>
      </c>
      <c r="E254" s="3">
        <f>IF($D236=D$252,$F236,0)+IF($E236=D$252,$G236,0)</f>
        <v>0</v>
      </c>
      <c r="F254" s="1">
        <f>IF($D236=D$252,-$G236,0)+IF($E236=D$252,-$F236,0)</f>
        <v>0</v>
      </c>
      <c r="G254" s="22" t="str">
        <f>IF(AND(OR($D236=G$252,$E236=G$252),$F236=""),"A",IF($D236=G$252,$I236,0)+IF($E236=G$252,$J236,0))</f>
        <v>A</v>
      </c>
      <c r="H254" s="59">
        <f>IF($D236=G$252,$F236,0)+IF($E236=G$252,$G236,0)</f>
        <v>0</v>
      </c>
      <c r="I254" s="1">
        <f>IF($D236=G$252,-$G236,0)+IF($E236=G$252,-$F236,0)</f>
        <v>0</v>
      </c>
      <c r="J254" s="22">
        <f>IF(AND(OR($D236=J$252,$E236=J$252),$F236=""),"A",IF($D236=J$252,$I236,0)+IF($E236=J$252,$J236,0))</f>
        <v>0</v>
      </c>
      <c r="K254" s="22">
        <f>IF($D236=J$252,$F236,0)+IF($E236=J$252,$G236,0)</f>
        <v>0</v>
      </c>
      <c r="L254" s="1">
        <f>IF($D236=J$252,-$G236,0)+IF($E236=J$252,-$F236,0)</f>
        <v>0</v>
      </c>
      <c r="M254" s="22">
        <f>IF(AND(OR($D236=M$252,$E236=M$252),$F236=""),"A",IF($D236=M$252,$I236,0)+IF($E236=M$252,$J236,0))</f>
        <v>0</v>
      </c>
      <c r="N254" s="22">
        <f>IF($D236=M$252,$F236,0)+IF($E236=M$252,$G236,0)</f>
        <v>0</v>
      </c>
      <c r="O254" s="1">
        <f>IF($D236=M$252,-$G236,0)+IF($E236=M$252,-$F236,0)</f>
        <v>0</v>
      </c>
      <c r="P254" s="22">
        <f>IF(AND(OR($D236=P$252,$E236=P$252),$F236=""),"A",IF($D236=P$252,$I236,0)+IF($E236=P$252,$J236,0))</f>
        <v>0</v>
      </c>
      <c r="Q254" s="22">
        <f>IF($D236=P$252,$F236,0)+IF($E236=P$252,$G236,0)</f>
        <v>0</v>
      </c>
      <c r="R254" s="1">
        <f>IF($D236=P$252,-$G236,0)+IF($E236=P$252,-$F236,0)</f>
        <v>0</v>
      </c>
    </row>
    <row r="255" spans="1:54" hidden="1" outlineLevel="1">
      <c r="B255" s="48"/>
      <c r="D255" s="3">
        <f>IF(AND(OR($D237=D$252,$E237=D$252),$F237=""),"A",IF($D237=D$252,$I237,0)+IF($E237=D$252,$J237,0))</f>
        <v>0</v>
      </c>
      <c r="E255" s="3">
        <f>IF($D237=$B$238,$F237,0)+IF($E237=$B$238,$G237,0)</f>
        <v>0</v>
      </c>
      <c r="F255" s="1">
        <f>IF($D237=$B$238,-$G237,0)+IF($E237=$B$238,-$F237,0)</f>
        <v>0</v>
      </c>
      <c r="G255" s="22">
        <f>IF(AND(OR($D237=G$252,$E237=G$252),$F237=""),"A",IF($D237=G$252,$I237,0)+IF($E237=G$252,$J237,0))</f>
        <v>0</v>
      </c>
      <c r="H255" s="59">
        <f>IF($D237=G$252,$F237,0)+IF($E237=G$252,$G237,0)</f>
        <v>0</v>
      </c>
      <c r="I255" s="1">
        <f>IF($D237=G$252,-$G237,0)+IF($E237=G$252,-$F237,0)</f>
        <v>0</v>
      </c>
      <c r="J255" s="22" t="str">
        <f>IF(AND(OR($D237=J$252,$E237=J$252),$F237=""),"A",IF($D237=J$252,$I237,0)+IF($E237=J$252,$J237,0))</f>
        <v>A</v>
      </c>
      <c r="K255" s="22">
        <f>IF($D237=J$252,$F237,0)+IF($E237=J$252,$G237,0)</f>
        <v>0</v>
      </c>
      <c r="L255" s="1">
        <f>IF($D237=J$252,-$G237,0)+IF($E237=J$252,-$F237,0)</f>
        <v>0</v>
      </c>
      <c r="M255" s="22" t="str">
        <f>IF(AND(OR($D237=M$252,$E237=M$252),$F237=""),"A",IF($D237=M$252,$I237,0)+IF($E237=M$252,$J237,0))</f>
        <v>A</v>
      </c>
      <c r="N255" s="22">
        <f>IF($D237=M$252,$F237,0)+IF($E237=M$252,$G237,0)</f>
        <v>0</v>
      </c>
      <c r="O255" s="1">
        <f>IF($D237=M$252,-$G237,0)+IF($E237=M$252,-$F237,0)</f>
        <v>0</v>
      </c>
      <c r="P255" s="22">
        <f>IF(AND(OR($D237=P$252,$E237=P$252),$F237=""),"A",IF($D237=P$252,$I237,0)+IF($E237=P$252,$J237,0))</f>
        <v>0</v>
      </c>
      <c r="Q255" s="22">
        <f>IF($D237=P$252,$F237,0)+IF($E237=P$252,$G237,0)</f>
        <v>0</v>
      </c>
      <c r="R255" s="1">
        <f>IF($D237=P$252,-$G237,0)+IF($E237=P$252,-$F237,0)</f>
        <v>0</v>
      </c>
    </row>
    <row r="256" spans="1:54" hidden="1" outlineLevel="1">
      <c r="B256" s="48"/>
      <c r="D256" s="3" t="str">
        <f>IF(AND(OR($D247=D$252,$E247=D$252),$F247=""),"A",IF($D247=D$252,$I238,0)+IF($E247=D$252,$J238,0))</f>
        <v>A</v>
      </c>
      <c r="E256" s="3">
        <f>IF($D247=$B$238,$F247,0)+IF($E247=$B$238,$G247,0)</f>
        <v>0</v>
      </c>
      <c r="F256" s="1">
        <f>IF($D247=$B$238,-$G247,0)+IF($E247=$B$238,-$F247,0)</f>
        <v>0</v>
      </c>
      <c r="G256" s="22">
        <f>IF(AND(OR($D247=G$252,$E247=G$252),$F247=""),"A",IF($D247=G$252,$I238,0)+IF($E247=G$252,$J238,0))</f>
        <v>0</v>
      </c>
      <c r="H256" s="59">
        <f>IF($D247=G$252,$F247,0)+IF($E247=G$252,$G247,0)</f>
        <v>0</v>
      </c>
      <c r="I256" s="1">
        <f>IF($D247=G$252,-$G247,0)+IF($E247=G$252,-$F247,0)</f>
        <v>0</v>
      </c>
      <c r="J256" s="22">
        <f>IF(AND(OR($D247=J$252,$E247=J$252),$F247=""),"A",IF($D247=J$252,$I238,0)+IF($E247=J$252,$J238,0))</f>
        <v>0</v>
      </c>
      <c r="K256" s="22">
        <f>IF($D247=J$252,$F247,0)+IF($E247=J$252,$G247,0)</f>
        <v>0</v>
      </c>
      <c r="L256" s="1">
        <f>IF($D247=J$252,-$G247,0)+IF($E247=J$252,-$F247,0)</f>
        <v>0</v>
      </c>
      <c r="M256" s="22">
        <f>IF(AND(OR($D247=M$252,$E247=M$252),$F247=""),"A",IF($D247=M$252,$I238,0)+IF($E247=M$252,$J238,0))</f>
        <v>0</v>
      </c>
      <c r="N256" s="22">
        <f>IF($D247=M$252,$F247,0)+IF($E247=M$252,$G247,0)</f>
        <v>0</v>
      </c>
      <c r="O256" s="1">
        <f>IF($D247=M$252,-$G247,0)+IF($E247=M$252,-$F247,0)</f>
        <v>0</v>
      </c>
      <c r="P256" s="22" t="str">
        <f>IF(AND(OR($D247=P$252,$E247=P$252),$F247=""),"A",IF($D247=P$252,$I238,0)+IF($E247=P$252,$J238,0))</f>
        <v>A</v>
      </c>
      <c r="Q256" s="22">
        <f>IF($D247=P$252,$F247,0)+IF($E247=P$252,$G247,0)</f>
        <v>0</v>
      </c>
      <c r="R256" s="1">
        <f>IF($D247=P$252,-$G247,0)+IF($E247=P$252,-$F247,0)</f>
        <v>0</v>
      </c>
    </row>
    <row r="257" spans="1:18" hidden="1" outlineLevel="1">
      <c r="B257" s="48"/>
      <c r="D257" s="3" t="str">
        <f>IF(AND(OR($D238=D$252,$E238=D$252),$F238=""),"A",IF($D238=D$252,$I239,0)+IF($E238=D$252,$J239,0))</f>
        <v>A</v>
      </c>
      <c r="E257" s="3">
        <f>IF($D238=$B$238,$F238,0)+IF($E238=$B$238,$G238,0)</f>
        <v>0</v>
      </c>
      <c r="F257" s="1">
        <f>IF($D238=$B$238,-$G238,0)+IF($E238=$B$238,-$F238,0)</f>
        <v>0</v>
      </c>
      <c r="G257" s="22">
        <f>IF(AND(OR($D238=G$252,$E238=G$252),$F238=""),"A",IF($D238=G$252,$I239,0)+IF($E238=G$252,$J239,0))</f>
        <v>0</v>
      </c>
      <c r="H257" s="59">
        <f>IF($D238=G$252,$F238,0)+IF($E238=G$252,$G238,0)</f>
        <v>0</v>
      </c>
      <c r="I257" s="1">
        <f>IF($D238=G$252,-$G238,0)+IF($E238=G$252,-$F238,0)</f>
        <v>0</v>
      </c>
      <c r="J257" s="22" t="str">
        <f>IF(AND(OR($D238=J$252,$E238=J$252),$F238=""),"A",IF($D238=J$252,$I239,0)+IF($E238=J$252,$J239,0))</f>
        <v>A</v>
      </c>
      <c r="K257" s="22">
        <f>IF($D238=J$252,$F238,0)+IF($E238=J$252,$G238,0)</f>
        <v>0</v>
      </c>
      <c r="L257" s="1">
        <f>IF($D238=J$252,-$G238,0)+IF($E238=J$252,-$F238,0)</f>
        <v>0</v>
      </c>
      <c r="M257" s="22">
        <f>IF(AND(OR($D238=M$252,$E238=M$252),$F238=""),"A",IF($D238=M$252,$I239,0)+IF($E238=M$252,$J239,0))</f>
        <v>0</v>
      </c>
      <c r="N257" s="22">
        <f>IF($D238=M$252,$F238,0)+IF($E238=M$252,$G238,0)</f>
        <v>0</v>
      </c>
      <c r="O257" s="1">
        <f>IF($D238=M$252,-$G238,0)+IF($E238=M$252,-$F238,0)</f>
        <v>0</v>
      </c>
      <c r="P257" s="22">
        <f>IF(AND(OR($D238=P$252,$E238=P$252),$F238=""),"A",IF($D238=P$252,$I239,0)+IF($E238=P$252,$J239,0))</f>
        <v>0</v>
      </c>
      <c r="Q257" s="22">
        <f>IF($D238=P$252,$F238,0)+IF($E238=P$252,$G238,0)</f>
        <v>0</v>
      </c>
      <c r="R257" s="1">
        <f>IF($D238=P$252,-$G238,0)+IF($E238=P$252,-$F238,0)</f>
        <v>0</v>
      </c>
    </row>
    <row r="258" spans="1:18" hidden="1" outlineLevel="1">
      <c r="B258" s="48"/>
      <c r="D258" s="3">
        <f>IF(AND(OR($D248=D$252,$E248=D$252),$F248=""),"A",IF($D248=D$252,$I240,0)+IF($E248=D$252,$J240,0))</f>
        <v>0</v>
      </c>
      <c r="E258" s="3">
        <f>IF($D248=$B$238,$F248,0)+IF($E248=$B$238,$G248,0)</f>
        <v>0</v>
      </c>
      <c r="F258" s="1">
        <f>IF($D248=$B$238,-$G248,0)+IF($E248=$B$238,-$F248,0)</f>
        <v>0</v>
      </c>
      <c r="G258" s="22">
        <f>IF(AND(OR($D248=G$252,$E248=G$252),$F248=""),"A",IF($D248=G$252,$I240,0)+IF($E248=G$252,$J240,0))</f>
        <v>0</v>
      </c>
      <c r="H258" s="59">
        <f>IF($D248=G$252,$F248,0)+IF($E248=G$252,$G248,0)</f>
        <v>0</v>
      </c>
      <c r="I258" s="1">
        <f>IF($D248=G$252,-$G248,0)+IF($E248=G$252,-$F248,0)</f>
        <v>0</v>
      </c>
      <c r="J258" s="22">
        <f>IF(AND(OR($D248=J$252,$E248=J$252),$F248=""),"A",IF($D248=J$252,$I240,0)+IF($E248=J$252,$J240,0))</f>
        <v>0</v>
      </c>
      <c r="K258" s="22">
        <f>IF($D248=J$252,$F248,0)+IF($E248=J$252,$G248,0)</f>
        <v>0</v>
      </c>
      <c r="L258" s="1">
        <f>IF($D248=J$252,-$G248,0)+IF($E248=J$252,-$F248,0)</f>
        <v>0</v>
      </c>
      <c r="M258" s="22" t="str">
        <f>IF(AND(OR($D248=M$252,$E248=M$252),$F248=""),"A",IF($D248=M$252,$I240,0)+IF($E248=M$252,$J240,0))</f>
        <v>A</v>
      </c>
      <c r="N258" s="22">
        <f>IF($D248=M$252,$F248,0)+IF($E248=M$252,$G248,0)</f>
        <v>0</v>
      </c>
      <c r="O258" s="1">
        <f>IF($D248=M$252,-$G248,0)+IF($E248=M$252,-$F248,0)</f>
        <v>0</v>
      </c>
      <c r="P258" s="22" t="str">
        <f>IF(AND(OR($D248=P$252,$E248=P$252),$F248=""),"A",IF($D248=P$252,$I240,0)+IF($E248=P$252,$J240,0))</f>
        <v>A</v>
      </c>
      <c r="Q258" s="22">
        <f>IF($D248=P$252,$F248,0)+IF($E248=P$252,$G248,0)</f>
        <v>0</v>
      </c>
      <c r="R258" s="1">
        <f>IF($D248=P$252,-$G248,0)+IF($E248=P$252,-$F248,0)</f>
        <v>0</v>
      </c>
    </row>
    <row r="259" spans="1:18" hidden="1" outlineLevel="1">
      <c r="B259" s="48"/>
      <c r="D259" s="3">
        <f>IF(AND(OR($D239=D$252,$E239=D$252),$F239=""),"A",IF($D239=D$252,$I241,0)+IF($E239=D$252,$J241,0))</f>
        <v>0</v>
      </c>
      <c r="E259" s="3">
        <f>IF($D239=$B$238,$F239,0)+IF($E239=$B$238,$G239,0)</f>
        <v>0</v>
      </c>
      <c r="F259" s="1">
        <f>IF($D239=$B$238,-$G239,0)+IF($E239=$B$238,-$F239,0)</f>
        <v>0</v>
      </c>
      <c r="G259" s="22" t="str">
        <f>IF(AND(OR($D239=G$252,$E239=G$252),$F239=""),"A",IF($D239=G$252,$I241,0)+IF($E239=G$252,$J241,0))</f>
        <v>A</v>
      </c>
      <c r="H259" s="59">
        <f>IF($D239=G$252,$F239,0)+IF($E239=G$252,$G239,0)</f>
        <v>0</v>
      </c>
      <c r="I259" s="1">
        <f>IF($D239=G$252,-$G239,0)+IF($E239=G$252,-$F239,0)</f>
        <v>0</v>
      </c>
      <c r="J259" s="22">
        <f>IF(AND(OR($D239=J$252,$E239=J$252),$F239=""),"A",IF($D239=J$252,$I241,0)+IF($E239=J$252,$J241,0))</f>
        <v>0</v>
      </c>
      <c r="K259" s="22">
        <f>IF($D239=J$252,$F239,0)+IF($E239=J$252,$G239,0)</f>
        <v>0</v>
      </c>
      <c r="L259" s="1">
        <f>IF($D239=J$252,-$G239,0)+IF($E239=J$252,-$F239,0)</f>
        <v>0</v>
      </c>
      <c r="M259" s="22" t="str">
        <f>IF(AND(OR($D239=M$252,$E239=M$252),$F239=""),"A",IF($D239=M$252,$I241,0)+IF($E239=M$252,$J241,0))</f>
        <v>A</v>
      </c>
      <c r="N259" s="22">
        <f>IF($D239=M$252,$F239,0)+IF($E239=M$252,$G239,0)</f>
        <v>0</v>
      </c>
      <c r="O259" s="1">
        <f>IF($D239=M$252,-$G239,0)+IF($E239=M$252,-$F239,0)</f>
        <v>0</v>
      </c>
      <c r="P259" s="22">
        <f>IF(AND(OR($D239=P$252,$E239=P$252),$F239=""),"A",IF($D239=P$252,$I241,0)+IF($E239=P$252,$J241,0))</f>
        <v>0</v>
      </c>
      <c r="Q259" s="22">
        <f>IF($D239=P$252,$F239,0)+IF($E239=P$252,$G239,0)</f>
        <v>0</v>
      </c>
      <c r="R259" s="1">
        <f>IF($D239=P$252,-$G239,0)+IF($E239=P$252,-$F239,0)</f>
        <v>0</v>
      </c>
    </row>
    <row r="260" spans="1:18" hidden="1" outlineLevel="1">
      <c r="B260" s="48"/>
      <c r="D260" s="3" t="str">
        <f>IF(AND(OR($D240=D$252,$E240=D$252),$F240=""),"A",IF($D240=D$252,$I242,0)+IF($E240=D$252,$J242,0))</f>
        <v>A</v>
      </c>
      <c r="E260" s="3">
        <f>IF($D240=$B$238,$F240,0)+IF($E240=$B$238,$G240,0)</f>
        <v>0</v>
      </c>
      <c r="F260" s="1">
        <f>IF($D240=$B$238,-$G240,0)+IF($E240=$B$238,-$F240,0)</f>
        <v>0</v>
      </c>
      <c r="G260" s="22">
        <f>IF(AND(OR($D240=G$252,$E240=G$252),$F240=""),"A",IF($D240=G$252,$I242,0)+IF($E240=G$252,$J242,0))</f>
        <v>0</v>
      </c>
      <c r="H260" s="59">
        <f>IF($D240=G$252,$F240,0)+IF($E240=G$252,$G240,0)</f>
        <v>0</v>
      </c>
      <c r="I260" s="1">
        <f>IF($D240=G$252,-$G240,0)+IF($E240=G$252,-$F240,0)</f>
        <v>0</v>
      </c>
      <c r="J260" s="22">
        <f>IF(AND(OR($D240=J$252,$E240=J$252),$F240=""),"A",IF($D240=J$252,$I242,0)+IF($E240=J$252,$J242,0))</f>
        <v>0</v>
      </c>
      <c r="K260" s="22">
        <f>IF($D240=J$252,$F240,0)+IF($E240=J$252,$G240,0)</f>
        <v>0</v>
      </c>
      <c r="L260" s="1">
        <f>IF($D240=J$252,-$G240,0)+IF($E240=J$252,-$F240,0)</f>
        <v>0</v>
      </c>
      <c r="M260" s="22" t="str">
        <f>IF(AND(OR($D240=M$252,$E240=M$252),$F240=""),"A",IF($D240=M$252,$I242,0)+IF($E240=M$252,$J242,0))</f>
        <v>A</v>
      </c>
      <c r="N260" s="22">
        <f>IF($D240=M$252,$F240,0)+IF($E240=M$252,$G240,0)</f>
        <v>0</v>
      </c>
      <c r="O260" s="1">
        <f>IF($D240=M$252,-$G240,0)+IF($E240=M$252,-$F240,0)</f>
        <v>0</v>
      </c>
      <c r="P260" s="22">
        <f>IF(AND(OR($D240=P$252,$E240=P$252),$F240=""),"A",IF($D240=P$252,$I242,0)+IF($E240=P$252,$J242,0))</f>
        <v>0</v>
      </c>
      <c r="Q260" s="22">
        <f>IF($D240=P$252,$F240,0)+IF($E240=P$252,$G240,0)</f>
        <v>0</v>
      </c>
      <c r="R260" s="1">
        <f>IF($D240=P$252,-$G240,0)+IF($E240=P$252,-$F240,0)</f>
        <v>0</v>
      </c>
    </row>
    <row r="261" spans="1:18" hidden="1" outlineLevel="1">
      <c r="B261" s="48"/>
      <c r="D261" s="3">
        <f>IF(AND(OR($D249=D$252,$E249=D$252),$F249=""),"A",IF($D249=D$252,$I243,0)+IF($E249=D$252,$J243,0))</f>
        <v>0</v>
      </c>
      <c r="E261" s="3">
        <f>IF($D249=$B$238,$F249,0)+IF($E249=$B$238,$G249,0)</f>
        <v>0</v>
      </c>
      <c r="F261" s="1">
        <f>IF($D249=$B$238,-$G249,0)+IF($E249=$B$238,-$F249,0)</f>
        <v>0</v>
      </c>
      <c r="G261" s="22" t="str">
        <f>IF(AND(OR($D249=G$252,$E249=G$252),$F249=""),"A",IF($D249=G$252,$I243,0)+IF($E249=G$252,$J243,0))</f>
        <v>A</v>
      </c>
      <c r="H261" s="59">
        <f>IF($D249=G$252,$F249,0)+IF($E249=G$252,$G249,0)</f>
        <v>0</v>
      </c>
      <c r="I261" s="1">
        <f>IF($D249=G$252,-$G249,0)+IF($E249=G$252,-$F249,0)</f>
        <v>0</v>
      </c>
      <c r="J261" s="22">
        <f>IF(AND(OR($D249=J$252,$E249=J$252),$F249=""),"A",IF($D249=J$252,$I243,0)+IF($E249=J$252,$J243,0))</f>
        <v>0</v>
      </c>
      <c r="K261" s="22">
        <f>IF($D249=J$252,$F249,0)+IF($E249=J$252,$G249,0)</f>
        <v>0</v>
      </c>
      <c r="L261" s="1">
        <f>IF($D249=J$252,-$G249,0)+IF($E249=J$252,-$F249,0)</f>
        <v>0</v>
      </c>
      <c r="M261" s="22">
        <f>IF(AND(OR($D249=M$252,$E249=M$252),$F249=""),"A",IF($D249=M$252,$I243,0)+IF($E249=M$252,$J243,0))</f>
        <v>0</v>
      </c>
      <c r="N261" s="22">
        <f>IF($D249=M$252,$F249,0)+IF($E249=M$252,$G249,0)</f>
        <v>0</v>
      </c>
      <c r="O261" s="1">
        <f>IF($D249=M$252,-$G249,0)+IF($E249=M$252,-$F249,0)</f>
        <v>0</v>
      </c>
      <c r="P261" s="22" t="str">
        <f>IF(AND(OR($D249=P$252,$E249=P$252),$F249=""),"A",IF($D249=P$252,$I243,0)+IF($E249=P$252,$J243,0))</f>
        <v>A</v>
      </c>
      <c r="Q261" s="22">
        <f>IF($D249=P$252,$F249,0)+IF($E249=P$252,$G249,0)</f>
        <v>0</v>
      </c>
      <c r="R261" s="1">
        <f>IF($D249=P$252,-$G249,0)+IF($E249=P$252,-$F249,0)</f>
        <v>0</v>
      </c>
    </row>
    <row r="262" spans="1:18" hidden="1" outlineLevel="1">
      <c r="B262" s="48"/>
      <c r="D262" s="3">
        <f>IF(AND(OR($D241=D$252,$E241=D$252),$F241=""),"A",IF($D241=D$252,$I244,0)+IF($E241=D$252,$J244,0))</f>
        <v>0</v>
      </c>
      <c r="E262" s="3">
        <f>IF($D241=$B$238,$F241,0)+IF($E241=$B$238,$G241,0)</f>
        <v>0</v>
      </c>
      <c r="F262" s="1">
        <f>IF($D241=$B$238,-$G241,0)+IF($E241=$B$238,-$F241,0)</f>
        <v>0</v>
      </c>
      <c r="G262" s="22" t="str">
        <f>IF(AND(OR($D241=G$252,$E241=G$252),$F241=""),"A",IF($D241=G$252,$I244,0)+IF($E241=G$252,$J244,0))</f>
        <v>A</v>
      </c>
      <c r="H262" s="59">
        <f>IF($D241=G$252,$F241,0)+IF($E241=G$252,$G241,0)</f>
        <v>0</v>
      </c>
      <c r="I262" s="1">
        <f>IF($D241=G$252,-$G241,0)+IF($E241=G$252,-$F241,0)</f>
        <v>0</v>
      </c>
      <c r="J262" s="22" t="str">
        <f>IF(AND(OR($D241=J$252,$E241=J$252),$F241=""),"A",IF($D241=J$252,$I244,0)+IF($E241=J$252,$J244,0))</f>
        <v>A</v>
      </c>
      <c r="K262" s="22">
        <f>IF($D241=J$252,$F241,0)+IF($E241=J$252,$G241,0)</f>
        <v>0</v>
      </c>
      <c r="L262" s="1">
        <f>IF($D241=J$252,-$G241,0)+IF($E241=J$252,-$F241,0)</f>
        <v>0</v>
      </c>
      <c r="M262" s="22">
        <f>IF(AND(OR($D241=M$252,$E241=M$252),$F241=""),"A",IF($D241=M$252,$I244,0)+IF($E241=M$252,$J244,0))</f>
        <v>0</v>
      </c>
      <c r="N262" s="22">
        <f>IF($D241=M$252,$F241,0)+IF($E241=M$252,$G241,0)</f>
        <v>0</v>
      </c>
      <c r="O262" s="1">
        <f>IF($D241=M$252,-$G241,0)+IF($E241=M$252,-$F241,0)</f>
        <v>0</v>
      </c>
      <c r="P262" s="22">
        <f>IF(AND(OR($D241=P$252,$E241=P$252),$F241=""),"A",IF($D241=P$252,$I244,0)+IF($E241=P$252,$J244,0))</f>
        <v>0</v>
      </c>
      <c r="Q262" s="22">
        <f>IF($D241=P$252,$F241,0)+IF($E241=P$252,$G241,0)</f>
        <v>0</v>
      </c>
      <c r="R262" s="1">
        <f>IF($D241=P$252,-$G241,0)+IF($E241=P$252,-$F241,0)</f>
        <v>0</v>
      </c>
    </row>
    <row r="263" spans="1:18" hidden="1" outlineLevel="1">
      <c r="B263" s="48"/>
      <c r="D263" s="3">
        <f>IF(AND(OR($D250=D$252,$E250=D$252),$F250=""),"A",IF($D250=D$252,$I245,0)+IF($E250=D$252,$J245,0))</f>
        <v>0</v>
      </c>
      <c r="E263" s="3">
        <f>IF($D250=$B$238,$F250,0)+IF($E250=$B$238,$G250,0)</f>
        <v>0</v>
      </c>
      <c r="F263" s="1">
        <f>IF($D250=$B$238,-$G250,0)+IF($E250=$B$238,-$F250,0)</f>
        <v>0</v>
      </c>
      <c r="G263" s="22">
        <f>IF(AND(OR($D250=G$252,$E250=G$252),$F250=""),"A",IF($D250=G$252,$I245,0)+IF($E250=G$252,$J245,0))</f>
        <v>0</v>
      </c>
      <c r="H263" s="59">
        <f>IF($D250=G$252,$F250,0)+IF($E250=G$252,$G250,0)</f>
        <v>0</v>
      </c>
      <c r="I263" s="1">
        <f>IF($D250=G$252,-$G250,0)+IF($E250=G$252,-$F250,0)</f>
        <v>0</v>
      </c>
      <c r="J263" s="22" t="str">
        <f>IF(AND(OR($D250=J$252,$E250=J$252),$F250=""),"A",IF($D250=J$252,$I245,0)+IF($E250=J$252,$J245,0))</f>
        <v>A</v>
      </c>
      <c r="K263" s="22">
        <f>IF($D250=J$252,$F250,0)+IF($E250=J$252,$G250,0)</f>
        <v>0</v>
      </c>
      <c r="L263" s="1">
        <f>IF($D250=J$252,-$G250,0)+IF($E250=J$252,-$F250,0)</f>
        <v>0</v>
      </c>
      <c r="M263" s="22">
        <f>IF(AND(OR($D250=M$252,$E250=M$252),$F250=""),"A",IF($D250=M$252,$I245,0)+IF($E250=M$252,$J245,0))</f>
        <v>0</v>
      </c>
      <c r="N263" s="22">
        <f>IF($D250=M$252,$F250,0)+IF($E250=M$252,$G250,0)</f>
        <v>0</v>
      </c>
      <c r="O263" s="1">
        <f>IF($D250=M$252,-$G250,0)+IF($E250=M$252,-$F250,0)</f>
        <v>0</v>
      </c>
      <c r="P263" s="22" t="str">
        <f>IF(AND(OR($D250=P$252,$E250=P$252),$F250=""),"A",IF($D250=P$252,$I245,0)+IF($E250=P$252,$J245,0))</f>
        <v>A</v>
      </c>
      <c r="Q263" s="22">
        <f>IF($D250=P$252,$F250,0)+IF($E250=P$252,$G250,0)</f>
        <v>0</v>
      </c>
      <c r="R263" s="1">
        <f>IF($D250=P$252,-$G250,0)+IF($E250=P$252,-$F250,0)</f>
        <v>0</v>
      </c>
    </row>
    <row r="264" spans="1:18" hidden="1" outlineLevel="1">
      <c r="B264" s="48"/>
    </row>
    <row r="265" spans="1:18" hidden="1" outlineLevel="1">
      <c r="B265" s="48"/>
      <c r="H265" s="59" t="s">
        <v>15</v>
      </c>
      <c r="I265" s="1" t="s">
        <v>16</v>
      </c>
      <c r="J265" s="38" t="s">
        <v>4</v>
      </c>
      <c r="K265" s="1" t="s">
        <v>17</v>
      </c>
    </row>
    <row r="266" spans="1:18" hidden="1" outlineLevel="1">
      <c r="A266" s="21">
        <f>RANK(B266,B$266:B$270,1)</f>
        <v>1</v>
      </c>
      <c r="B266" s="48">
        <f>SUM(H266:J266)+ROW()/1000</f>
        <v>10110.266</v>
      </c>
      <c r="C266" s="22" t="str">
        <f>B238</f>
        <v>Deutschland</v>
      </c>
      <c r="D266" s="3">
        <f>SUM(D254:D263)</f>
        <v>0</v>
      </c>
      <c r="E266" s="3">
        <f>F266+G266</f>
        <v>0</v>
      </c>
      <c r="F266" s="22">
        <f>SUM(E254:E263)</f>
        <v>0</v>
      </c>
      <c r="G266" s="22">
        <f>SUM(F254:F263)</f>
        <v>0</v>
      </c>
      <c r="H266" s="59">
        <f>10000*RANK(D266,D$266:D$270)-N266</f>
        <v>10000</v>
      </c>
      <c r="I266" s="1">
        <f>100*RANK(E266,E$266:E$270)</f>
        <v>100</v>
      </c>
      <c r="J266" s="1">
        <f>10*RANK(F266,F$266:F$270)</f>
        <v>10</v>
      </c>
      <c r="K266" s="1">
        <f>4-COUNTIF(D$254:D$263,"A")</f>
        <v>0</v>
      </c>
      <c r="L266" s="1">
        <f>COUNTIF(D$254:D$263,I$118)</f>
        <v>0</v>
      </c>
      <c r="M266" s="1">
        <f>COUNTIF(D$254:D$263,J$118)</f>
        <v>0</v>
      </c>
      <c r="N266" s="1">
        <f>IF(A238&lt;&gt;"",500,0)</f>
        <v>0</v>
      </c>
      <c r="O266" s="39" t="str">
        <f>IF(A238&lt;&gt;"",UPPER(A238),"")</f>
        <v/>
      </c>
    </row>
    <row r="267" spans="1:18" hidden="1" outlineLevel="1">
      <c r="A267" s="21">
        <f>RANK(B267,B$266:B$270,1)</f>
        <v>2</v>
      </c>
      <c r="B267" s="48">
        <f>SUM(H267:J267)+ROW()/1000</f>
        <v>10110.267</v>
      </c>
      <c r="C267" s="22" t="str">
        <f>B239</f>
        <v>Portugal</v>
      </c>
      <c r="D267" s="3">
        <f>SUM(G254:G263)</f>
        <v>0</v>
      </c>
      <c r="E267" s="3">
        <f>F267+G267</f>
        <v>0</v>
      </c>
      <c r="F267" s="22">
        <f>SUM(H254:H263)</f>
        <v>0</v>
      </c>
      <c r="G267" s="22">
        <f>SUM(I254:I263)</f>
        <v>0</v>
      </c>
      <c r="H267" s="59">
        <f>10000*RANK(D267,D$266:D$270)-N267</f>
        <v>10000</v>
      </c>
      <c r="I267" s="1">
        <f>100*RANK(E267,E$266:E$270)</f>
        <v>100</v>
      </c>
      <c r="J267" s="1">
        <f>10*RANK(F267,F$266:F$270)</f>
        <v>10</v>
      </c>
      <c r="K267" s="1">
        <f>4-COUNTIF(G$254:G$263,"A")</f>
        <v>0</v>
      </c>
      <c r="L267" s="1">
        <f>COUNTIF(G$254:G$263,I$118)</f>
        <v>0</v>
      </c>
      <c r="M267" s="1">
        <f>COUNTIF(G$254:G$263,J$118)</f>
        <v>0</v>
      </c>
      <c r="N267" s="1">
        <f>IF(A239&lt;&gt;"",500,0)</f>
        <v>0</v>
      </c>
      <c r="O267" s="39" t="str">
        <f>IF(A239&lt;&gt;"",UPPER(A239),"")</f>
        <v/>
      </c>
    </row>
    <row r="268" spans="1:18" hidden="1" outlineLevel="1">
      <c r="A268" s="21">
        <f>RANK(B268,B$266:B$270,1)</f>
        <v>3</v>
      </c>
      <c r="B268" s="48">
        <f>SUM(H268:J268)+ROW()/1000</f>
        <v>10110.268</v>
      </c>
      <c r="C268" s="22" t="str">
        <f>B240</f>
        <v>Ghana</v>
      </c>
      <c r="D268" s="3">
        <f>SUM(J254:J263)</f>
        <v>0</v>
      </c>
      <c r="E268" s="3">
        <f>F268+G268</f>
        <v>0</v>
      </c>
      <c r="F268" s="22">
        <f>SUM(K254:K263)</f>
        <v>0</v>
      </c>
      <c r="G268" s="22">
        <f>SUM(L254:L263)</f>
        <v>0</v>
      </c>
      <c r="H268" s="59">
        <f>10000*RANK(D268,D$266:D$270)-N268</f>
        <v>10000</v>
      </c>
      <c r="I268" s="1">
        <f>100*RANK(E268,E$266:E$270)</f>
        <v>100</v>
      </c>
      <c r="J268" s="1">
        <f>10*RANK(F268,F$266:F$270)</f>
        <v>10</v>
      </c>
      <c r="K268" s="1">
        <f>4-COUNTIF(J$254:J$263,"A")</f>
        <v>0</v>
      </c>
      <c r="L268" s="1">
        <f>COUNTIF(J$254:J$263,I$118)</f>
        <v>0</v>
      </c>
      <c r="M268" s="1">
        <f>COUNTIF(J$254:J$263,J$118)</f>
        <v>0</v>
      </c>
      <c r="N268" s="1">
        <f>IF(A240&lt;&gt;"",500,0)</f>
        <v>0</v>
      </c>
      <c r="O268" s="39" t="str">
        <f>IF(A240&lt;&gt;"",UPPER(A240),"")</f>
        <v/>
      </c>
    </row>
    <row r="269" spans="1:18" hidden="1" outlineLevel="1">
      <c r="A269" s="21">
        <f>RANK(B269,B$266:B$270,1)</f>
        <v>4</v>
      </c>
      <c r="B269" s="48">
        <f>SUM(H269:J269)+ROW()/1000</f>
        <v>10110.269</v>
      </c>
      <c r="C269" s="22" t="str">
        <f>B241</f>
        <v>USA</v>
      </c>
      <c r="D269" s="3">
        <f>SUM(M254:M263)</f>
        <v>0</v>
      </c>
      <c r="E269" s="3">
        <f>F269+G269</f>
        <v>0</v>
      </c>
      <c r="F269" s="22">
        <f>SUM(N254:N263)</f>
        <v>0</v>
      </c>
      <c r="G269" s="22">
        <f>SUM(O254:O263)</f>
        <v>0</v>
      </c>
      <c r="H269" s="59">
        <f>10000*RANK(D269,D$266:D$270)-N269</f>
        <v>10000</v>
      </c>
      <c r="I269" s="1">
        <f>100*RANK(E269,E$266:E$270)</f>
        <v>100</v>
      </c>
      <c r="J269" s="1">
        <f>10*RANK(F269,F$266:F$270)</f>
        <v>10</v>
      </c>
      <c r="K269" s="1">
        <f>4-COUNTIF(M$254:M$263,"A")</f>
        <v>0</v>
      </c>
      <c r="L269" s="1">
        <f>COUNTIF(M$254:M$263,I$118)</f>
        <v>0</v>
      </c>
      <c r="M269" s="1">
        <f>COUNTIF(M$254:M$263,J$118)</f>
        <v>0</v>
      </c>
      <c r="N269" s="1">
        <f>IF(A241&lt;&gt;"",500,0)</f>
        <v>0</v>
      </c>
      <c r="O269" s="39" t="str">
        <f>IF(A241&lt;&gt;"",UPPER(A241),"")</f>
        <v/>
      </c>
    </row>
    <row r="270" spans="1:18" hidden="1" outlineLevel="1">
      <c r="A270" s="21">
        <f>RANK(B270,B$266:B$270,1)</f>
        <v>5</v>
      </c>
      <c r="B270" s="48">
        <f>SUM(H270:J270)+ROW()/1000</f>
        <v>10510.27</v>
      </c>
      <c r="C270" s="22" t="str">
        <f>B247</f>
        <v>#######</v>
      </c>
      <c r="D270" s="3">
        <v>0</v>
      </c>
      <c r="E270" s="3">
        <f>F270+G270</f>
        <v>-100</v>
      </c>
      <c r="F270" s="22">
        <v>0</v>
      </c>
      <c r="G270" s="22">
        <v>-100</v>
      </c>
      <c r="H270" s="59">
        <f>10000*RANK(D270,D$266:D$270)-N270</f>
        <v>10000</v>
      </c>
      <c r="I270" s="1">
        <f>100*RANK(E270,E$266:E$270)</f>
        <v>500</v>
      </c>
      <c r="J270" s="1">
        <f>10*RANK(F270,F$266:F$270)</f>
        <v>10</v>
      </c>
      <c r="K270" s="1">
        <f>4-COUNTIF(P$254:P$263,"A")</f>
        <v>0</v>
      </c>
      <c r="L270" s="1">
        <f>COUNTIF(P$254:P$263,I$118)</f>
        <v>0</v>
      </c>
      <c r="M270" s="1">
        <f>COUNTIF(P$254:P$263,J$118)</f>
        <v>0</v>
      </c>
      <c r="N270" s="1">
        <f>IF(A242&lt;&gt;"",500,0)</f>
        <v>0</v>
      </c>
      <c r="O270" s="39" t="str">
        <f>IF(A242&lt;&gt;"",UPPER(A242),"")</f>
        <v/>
      </c>
    </row>
    <row r="271" spans="1:18" hidden="1" outlineLevel="1">
      <c r="B271" s="48"/>
    </row>
    <row r="272" spans="1:18" hidden="1" outlineLevel="1">
      <c r="B272" s="48"/>
      <c r="C272" s="14"/>
      <c r="D272" s="14"/>
      <c r="E272" s="14"/>
      <c r="F272" s="14"/>
      <c r="G272" s="14"/>
    </row>
    <row r="273" spans="1:54" hidden="1" outlineLevel="1">
      <c r="B273" s="48"/>
      <c r="C273" s="14"/>
      <c r="D273" s="14"/>
      <c r="E273" s="14"/>
      <c r="F273" s="14"/>
      <c r="G273" s="14"/>
      <c r="I273" s="45">
        <f>I1</f>
        <v>3</v>
      </c>
      <c r="J273" s="45">
        <f>J1</f>
        <v>1</v>
      </c>
    </row>
    <row r="274" spans="1:54" ht="15" collapsed="1" thickBot="1">
      <c r="B274" s="48"/>
      <c r="C274" s="14"/>
      <c r="D274" s="14"/>
      <c r="E274" s="14"/>
      <c r="F274" s="14"/>
      <c r="G274" s="14"/>
      <c r="I274" s="45"/>
      <c r="J274" s="45"/>
    </row>
    <row r="275" spans="1:54" ht="18">
      <c r="B275" s="47" t="s">
        <v>28</v>
      </c>
      <c r="C275" s="1">
        <v>1</v>
      </c>
      <c r="D275" s="46" t="str">
        <f>B277</f>
        <v>Belgien</v>
      </c>
      <c r="E275" s="46" t="str">
        <f>B278</f>
        <v>Algerien</v>
      </c>
      <c r="F275" s="69"/>
      <c r="G275" s="70"/>
      <c r="H275" s="246">
        <v>41807.75</v>
      </c>
      <c r="I275" s="1">
        <f>IF(F275="",0,IF(F275=G275,J$118,IF(F275&gt;G275,I$118,0)))</f>
        <v>0</v>
      </c>
      <c r="J275" s="1">
        <f>IF(G275="",0,IF(F275=G275,J$118,IF(F275&lt;G275,I$118,0)))</f>
        <v>0</v>
      </c>
      <c r="N275" s="7"/>
      <c r="O275" s="8"/>
      <c r="P275" s="9" t="s">
        <v>1</v>
      </c>
      <c r="Q275" s="9" t="s">
        <v>2</v>
      </c>
      <c r="R275" s="10" t="s">
        <v>3</v>
      </c>
      <c r="S275" s="11" t="s">
        <v>4</v>
      </c>
      <c r="T275" s="12" t="s">
        <v>5</v>
      </c>
      <c r="U275" s="10" t="s">
        <v>6</v>
      </c>
      <c r="V275" s="9" t="s">
        <v>7</v>
      </c>
      <c r="W275" s="13" t="s">
        <v>8</v>
      </c>
      <c r="Y275" s="14"/>
      <c r="Z275"/>
      <c r="AA275"/>
      <c r="AB275" s="15" t="s">
        <v>9</v>
      </c>
      <c r="AF275"/>
      <c r="AG275"/>
      <c r="AS275" s="7"/>
      <c r="AT275" s="8"/>
      <c r="AU275" s="9" t="s">
        <v>1</v>
      </c>
      <c r="AV275" s="9" t="s">
        <v>2</v>
      </c>
      <c r="AW275" s="10" t="s">
        <v>3</v>
      </c>
      <c r="AX275" s="11" t="s">
        <v>4</v>
      </c>
      <c r="AY275" s="12" t="s">
        <v>5</v>
      </c>
      <c r="AZ275" s="64" t="s">
        <v>6</v>
      </c>
      <c r="BA275" s="64" t="s">
        <v>7</v>
      </c>
      <c r="BB275" s="65" t="s">
        <v>8</v>
      </c>
    </row>
    <row r="276" spans="1:54">
      <c r="B276" s="48"/>
      <c r="C276" s="1">
        <v>2</v>
      </c>
      <c r="D276" s="46" t="str">
        <f>B279</f>
        <v>Russland</v>
      </c>
      <c r="E276" s="46" t="str">
        <f>B280</f>
        <v>Südkorea</v>
      </c>
      <c r="F276" s="69"/>
      <c r="G276" s="70"/>
      <c r="H276" s="245">
        <v>41807</v>
      </c>
      <c r="I276" s="1">
        <f>IF(F276="",0,IF(F276=G276,J$118,IF(F276&gt;G276,I$118,0)))</f>
        <v>0</v>
      </c>
      <c r="J276" s="1">
        <f>IF(G276="",0,IF(F276=G276,J$118,IF(F276&lt;G276,I$118,0)))</f>
        <v>0</v>
      </c>
      <c r="N276" s="16"/>
      <c r="O276" s="17"/>
      <c r="P276" s="14"/>
      <c r="Q276" s="17"/>
      <c r="R276" s="18"/>
      <c r="S276" s="18"/>
      <c r="T276" s="19"/>
      <c r="W276" s="20"/>
      <c r="Y276" s="14"/>
      <c r="Z276"/>
      <c r="AA276"/>
      <c r="AF276"/>
      <c r="AG276"/>
      <c r="AH276" s="21" t="s">
        <v>10</v>
      </c>
      <c r="AN276" s="21" t="s">
        <v>11</v>
      </c>
      <c r="AS276" s="16"/>
      <c r="AT276" s="17"/>
      <c r="AU276" s="14"/>
      <c r="AV276" s="17"/>
      <c r="AW276" s="18"/>
      <c r="AX276" s="18"/>
      <c r="AY276" s="19"/>
      <c r="BB276" s="66"/>
    </row>
    <row r="277" spans="1:54" ht="15">
      <c r="A277" s="71"/>
      <c r="B277" s="72" t="s">
        <v>157</v>
      </c>
      <c r="C277" s="1">
        <v>3</v>
      </c>
      <c r="D277" s="46" t="str">
        <f>B277</f>
        <v>Belgien</v>
      </c>
      <c r="E277" s="46" t="str">
        <f>B279</f>
        <v>Russland</v>
      </c>
      <c r="F277" s="69"/>
      <c r="G277" s="70"/>
      <c r="H277" s="246">
        <v>41812</v>
      </c>
      <c r="I277" s="1">
        <f>IF(F286="",0,IF(F286=G286,J$118,IF(F286&gt;G286,I$118,0)))</f>
        <v>0</v>
      </c>
      <c r="J277" s="1">
        <f>IF(G286="",0,IF(F286=G286,J$118,IF(F286&lt;G286,I$118,0)))</f>
        <v>0</v>
      </c>
      <c r="K277" s="1">
        <v>1</v>
      </c>
      <c r="L277" s="1">
        <f>IF(OR(Q$277+Q$278+Q$279=3*Q$277,Q$280+Q$278+Q$279=3*Q$280,AE277+AK277+AQ277=0),K277,AE277+AK277+AQ277)</f>
        <v>1</v>
      </c>
      <c r="M277" s="22">
        <f>INT(VLOOKUP($K277,$A$305:$G$309,2,0))</f>
        <v>10110</v>
      </c>
      <c r="N277" s="23">
        <f>1</f>
        <v>1</v>
      </c>
      <c r="O277" s="24" t="str">
        <f>VLOOKUP($K277,$A$305:$G$309,3,0)</f>
        <v>Belgien</v>
      </c>
      <c r="P277" s="22">
        <f>VLOOKUP($K277,$A$305:$K$309,11,0)</f>
        <v>0</v>
      </c>
      <c r="Q277" s="25">
        <f>VLOOKUP($K277,$A$305:$G$309,4,0)</f>
        <v>0</v>
      </c>
      <c r="R277" s="18">
        <f>VLOOKUP($K277,$A$305:$G$309,5,0)</f>
        <v>0</v>
      </c>
      <c r="S277" s="18">
        <f>VLOOKUP($K277,$A$305:$G$309,6,0)</f>
        <v>0</v>
      </c>
      <c r="T277" s="19">
        <f>VLOOKUP($K277,$A$305:$G$309,7,0)</f>
        <v>0</v>
      </c>
      <c r="U277" s="14">
        <f>VLOOKUP($K277,$A$305:$M$309,12,0)</f>
        <v>0</v>
      </c>
      <c r="V277" s="1">
        <f>VLOOKUP($K277,$A$305:$M$309,13,0)</f>
        <v>0</v>
      </c>
      <c r="W277" s="20">
        <f>P277-U277-V277</f>
        <v>0</v>
      </c>
      <c r="X277" s="25" t="str">
        <f>VLOOKUP($K277,$A$305:$G$309,4,0)&amp;" "&amp;VLOOKUP($K277,$A$305:$P$309,15,0)</f>
        <v xml:space="preserve">0 </v>
      </c>
      <c r="Y277" s="1">
        <f>INT(VLOOKUP($K277,$A$305:$H$309,8,0))</f>
        <v>10000</v>
      </c>
      <c r="Z277" s="1">
        <f>IF(AND(Y$277=Y$278,OR(AND(D275=O$277,E275=O$278),AND(D275=O$278,E275=O$277))),1,0)</f>
        <v>1</v>
      </c>
      <c r="AA277" s="1" t="str">
        <f t="shared" ref="AA277:AA282" si="84">VLOOKUP($Z277,$C$275:$G$280,2,0)</f>
        <v>Belgien</v>
      </c>
      <c r="AB277" s="1" t="str">
        <f t="shared" ref="AB277:AB282" si="85">VLOOKUP($Z277,$C$275:$G$280,3,0)</f>
        <v>Algerien</v>
      </c>
      <c r="AC277" s="1">
        <f t="shared" ref="AC277:AC282" si="86">VLOOKUP($Z277,$C$275:$G$280,4,0)</f>
        <v>0</v>
      </c>
      <c r="AD277" s="1">
        <f t="shared" ref="AD277:AD282" si="87">VLOOKUP($Z277,$C$275:$G$280,5,0)</f>
        <v>0</v>
      </c>
      <c r="AE277" s="1">
        <f>IF(ISERROR(AC284),0,IF(AC284=0,0,IF(OR(AND(AA284=O277,AC284&gt;0),AND(AB284=O277,AC284&lt;0)),1,2)))</f>
        <v>0</v>
      </c>
      <c r="AF277" s="1">
        <f>IF(AND($Y$278=$Y$279,OR(AND($D275=$O$278,$E275=$O$279),AND($D275=$O$279,$E275=$O$278))),1,0)</f>
        <v>0</v>
      </c>
      <c r="AG277" s="1" t="e">
        <f t="shared" ref="AG277:AG282" si="88">VLOOKUP($AF277,$C$275:$G$280,2,0)</f>
        <v>#N/A</v>
      </c>
      <c r="AH277" s="1" t="e">
        <f t="shared" ref="AH277:AH282" si="89">VLOOKUP($AF277,$C$275:$G$280,3,0)</f>
        <v>#N/A</v>
      </c>
      <c r="AI277" s="1" t="e">
        <f t="shared" ref="AI277:AI282" si="90">VLOOKUP($AF277,$C$275:$G$280,4,0)</f>
        <v>#N/A</v>
      </c>
      <c r="AJ277" s="1" t="e">
        <f t="shared" ref="AJ277:AJ282" si="91">VLOOKUP($AF277,$C$275:$G$280,5,0)</f>
        <v>#N/A</v>
      </c>
      <c r="AK277"/>
      <c r="AL277" s="1">
        <f>IF(AND($Y$279=$Y$280,OR(AND($D275=$O$279,$E275=$O$280),AND($D275=$O$280,$E275=$O$279))),1,0)</f>
        <v>0</v>
      </c>
      <c r="AM277" s="1" t="e">
        <f t="shared" ref="AM277:AM282" si="92">VLOOKUP($AL277,$C$275:$G$280,2,0)</f>
        <v>#N/A</v>
      </c>
      <c r="AN277" s="1" t="e">
        <f t="shared" ref="AN277:AN282" si="93">VLOOKUP($AL277,$C$275:$G$280,3,0)</f>
        <v>#N/A</v>
      </c>
      <c r="AO277" s="1" t="e">
        <f t="shared" ref="AO277:AO282" si="94">VLOOKUP($AL277,$C$275:$G$280,4,0)</f>
        <v>#N/A</v>
      </c>
      <c r="AP277" s="1" t="e">
        <f t="shared" ref="AP277:AP282" si="95">VLOOKUP($AL277,$C$275:$G$280,5,0)</f>
        <v>#N/A</v>
      </c>
      <c r="AS277" s="23">
        <v>1</v>
      </c>
      <c r="AT277" s="24" t="str">
        <f>VLOOKUP($K277,$L$277:$W$280,4,0)</f>
        <v>Belgien</v>
      </c>
      <c r="AU277" s="22">
        <f>VLOOKUP($K277,$L$277:$W$280,5,0)</f>
        <v>0</v>
      </c>
      <c r="AV277" s="25" t="str">
        <f>VLOOKUP($K277,$L$277:$X$280,13,0)</f>
        <v xml:space="preserve">0 </v>
      </c>
      <c r="AW277" s="18">
        <f>VLOOKUP($K277,$L$277:$W$280,7,0)</f>
        <v>0</v>
      </c>
      <c r="AX277" s="18">
        <f>VLOOKUP($K277,$L$277:$W$280,8,0)</f>
        <v>0</v>
      </c>
      <c r="AY277" s="19">
        <f>VLOOKUP($K277,$L$277:$W$280,9,0)</f>
        <v>0</v>
      </c>
      <c r="AZ277" s="51">
        <f>VLOOKUP($K277,$L$277:$W$280,10,0)</f>
        <v>0</v>
      </c>
      <c r="BA277" s="22">
        <f>VLOOKUP($K277,$L$277:$W$280,11,0)</f>
        <v>0</v>
      </c>
      <c r="BB277" s="66">
        <f>VLOOKUP($K277,$L$277:$W$280,12,0)</f>
        <v>0</v>
      </c>
    </row>
    <row r="278" spans="1:54" ht="15">
      <c r="A278" s="71"/>
      <c r="B278" s="72" t="s">
        <v>69</v>
      </c>
      <c r="C278" s="1">
        <v>4</v>
      </c>
      <c r="D278" s="46" t="str">
        <f>B278</f>
        <v>Algerien</v>
      </c>
      <c r="E278" s="46" t="str">
        <f>B280</f>
        <v>Südkorea</v>
      </c>
      <c r="F278" s="69"/>
      <c r="G278" s="70"/>
      <c r="H278" s="246">
        <v>41812.75</v>
      </c>
      <c r="I278" s="1">
        <f>IF(F277="",0,IF(F277=G277,J$118,IF(F277&gt;G277,I$118,0)))</f>
        <v>0</v>
      </c>
      <c r="J278" s="1">
        <f>IF(G277="",0,IF(F277=G277,J$118,IF(F277&lt;G277,I$118,0)))</f>
        <v>0</v>
      </c>
      <c r="K278" s="1">
        <v>2</v>
      </c>
      <c r="L278" s="1">
        <f>IF(OR(Q$277+Q$278+Q$279=3*Q$277,Q$280+Q$278+Q$279=3*Q$280,AE278+AK278+AQ278=0),K278,AE278+AK278+AQ278)</f>
        <v>2</v>
      </c>
      <c r="M278" s="22">
        <f>INT(VLOOKUP($K278,$A$305:$G$309,2,0))</f>
        <v>10110</v>
      </c>
      <c r="N278" s="23" t="str">
        <f>IF(M278=M277,"",K278)</f>
        <v/>
      </c>
      <c r="O278" s="24" t="str">
        <f>VLOOKUP($K278,$A$305:$G$309,3,0)</f>
        <v>Algerien</v>
      </c>
      <c r="P278" s="22">
        <f>VLOOKUP($K278,$A$305:$K$309,11,0)</f>
        <v>0</v>
      </c>
      <c r="Q278" s="25">
        <f>VLOOKUP($K278,$A$305:$G$309,4,0)</f>
        <v>0</v>
      </c>
      <c r="R278" s="18">
        <f>VLOOKUP($K278,$A$305:$G$309,5,0)</f>
        <v>0</v>
      </c>
      <c r="S278" s="18">
        <f>VLOOKUP($K278,$A$305:$G$309,6,0)</f>
        <v>0</v>
      </c>
      <c r="T278" s="19">
        <f>VLOOKUP($K278,$A$305:$G$309,7,0)</f>
        <v>0</v>
      </c>
      <c r="U278" s="14">
        <f>VLOOKUP($K278,$A$305:$M$309,12,0)</f>
        <v>0</v>
      </c>
      <c r="V278" s="1">
        <f>VLOOKUP($K278,$A$305:$M$309,13,0)</f>
        <v>0</v>
      </c>
      <c r="W278" s="20">
        <f>P278-U278-V278</f>
        <v>0</v>
      </c>
      <c r="X278" s="25" t="str">
        <f>VLOOKUP($K278,$A$305:$G$309,4,0)&amp;" "&amp;VLOOKUP($K278,$A$305:$P$309,15,0)</f>
        <v xml:space="preserve">0 </v>
      </c>
      <c r="Y278" s="1">
        <f>INT(VLOOKUP($K278,$A$305:$H$309,8,0))</f>
        <v>10000</v>
      </c>
      <c r="Z278" s="1">
        <f>IF(AND(Y$277=Y$278,OR(AND(D276=O$277,E276=O$278),AND(D276=O$278,E276=O$277))),2,0)</f>
        <v>0</v>
      </c>
      <c r="AA278" s="1" t="e">
        <f t="shared" si="84"/>
        <v>#N/A</v>
      </c>
      <c r="AB278" s="1" t="e">
        <f t="shared" si="85"/>
        <v>#N/A</v>
      </c>
      <c r="AC278" s="1" t="e">
        <f t="shared" si="86"/>
        <v>#N/A</v>
      </c>
      <c r="AD278" s="1" t="e">
        <f t="shared" si="87"/>
        <v>#N/A</v>
      </c>
      <c r="AE278" s="1">
        <f>IF(AE277=2,1,IF(AE277=1,2,0))</f>
        <v>0</v>
      </c>
      <c r="AF278" s="1">
        <f>IF(AND(Y$278=Y$279,OR(AND(D276=O$278,E276=O$279),AND(D276=O$279,E276=O$278))),2,0)</f>
        <v>0</v>
      </c>
      <c r="AG278" s="1" t="e">
        <f t="shared" si="88"/>
        <v>#N/A</v>
      </c>
      <c r="AH278" s="1" t="e">
        <f t="shared" si="89"/>
        <v>#N/A</v>
      </c>
      <c r="AI278" s="1" t="e">
        <f t="shared" si="90"/>
        <v>#N/A</v>
      </c>
      <c r="AJ278" s="1" t="e">
        <f t="shared" si="91"/>
        <v>#N/A</v>
      </c>
      <c r="AK278" s="1">
        <f>IF(ISERROR(AI284),0,IF(AI284=0,0,IF(OR(AND(AG284=O278,AI284&gt;0),AND(AH284=O278,AI284&lt;0)),2,3)))</f>
        <v>0</v>
      </c>
      <c r="AL278" s="1">
        <f>IF(AND($Y$279=$Y$280,OR(AND($D276=$O$279,$E276=$O$280),AND($D276=$O$280,$E276=$O$279))),2,0)</f>
        <v>2</v>
      </c>
      <c r="AM278" s="1" t="str">
        <f t="shared" si="92"/>
        <v>Russland</v>
      </c>
      <c r="AN278" s="1" t="str">
        <f t="shared" si="93"/>
        <v>Südkorea</v>
      </c>
      <c r="AO278" s="1">
        <f t="shared" si="94"/>
        <v>0</v>
      </c>
      <c r="AP278" s="1">
        <f t="shared" si="95"/>
        <v>0</v>
      </c>
      <c r="AQ278"/>
      <c r="AR278"/>
      <c r="AS278" s="23" t="str">
        <f>IF(AND(OR(AR284=1,AE278+AK278+AQ278=0),M278=M277),"",2)</f>
        <v/>
      </c>
      <c r="AT278" s="24" t="str">
        <f>VLOOKUP($K278,$L$277:$W$280,4,0)</f>
        <v>Algerien</v>
      </c>
      <c r="AU278" s="22">
        <f>VLOOKUP($K278,$L$277:$W$280,5,0)</f>
        <v>0</v>
      </c>
      <c r="AV278" s="25" t="str">
        <f>VLOOKUP($K278,$L$277:$X$280,13,0)</f>
        <v xml:space="preserve">0 </v>
      </c>
      <c r="AW278" s="18">
        <f>VLOOKUP($K278,$L$277:$W$280,7,0)</f>
        <v>0</v>
      </c>
      <c r="AX278" s="18">
        <f>VLOOKUP($K278,$L$277:$W$280,8,0)</f>
        <v>0</v>
      </c>
      <c r="AY278" s="19">
        <f>VLOOKUP($K278,$L$277:$W$280,9,0)</f>
        <v>0</v>
      </c>
      <c r="AZ278" s="51">
        <f>VLOOKUP($K278,$L$277:$W$280,10,0)</f>
        <v>0</v>
      </c>
      <c r="BA278" s="22">
        <f>VLOOKUP($K278,$L$277:$W$280,11,0)</f>
        <v>0</v>
      </c>
      <c r="BB278" s="66">
        <f>VLOOKUP($K278,$L$277:$W$280,12,0)</f>
        <v>0</v>
      </c>
    </row>
    <row r="279" spans="1:54" ht="15">
      <c r="A279" s="71"/>
      <c r="B279" s="72" t="s">
        <v>211</v>
      </c>
      <c r="C279" s="1">
        <v>5</v>
      </c>
      <c r="D279" s="46" t="str">
        <f>B277</f>
        <v>Belgien</v>
      </c>
      <c r="E279" s="46" t="str">
        <f>B280</f>
        <v>Südkorea</v>
      </c>
      <c r="F279" s="69"/>
      <c r="G279" s="70"/>
      <c r="H279" s="246">
        <v>41816.916666666664</v>
      </c>
      <c r="I279" s="1">
        <f>IF(F287="",0,IF(F287=G287,J$118,IF(F287&gt;G287,I$118,0)))</f>
        <v>0</v>
      </c>
      <c r="J279" s="1">
        <f>IF(G287="",0,IF(F287=G287,J$118,IF(F287&lt;G287,I$118,0)))</f>
        <v>0</v>
      </c>
      <c r="K279" s="1">
        <v>3</v>
      </c>
      <c r="L279" s="1">
        <f>IF(OR(Q$277+Q$278+Q$279=3*Q$277,Q$280+Q$278+Q$279=3*Q$280,AE279+AK279+AQ279=0),K279,AE279+AK279+AQ279)</f>
        <v>3</v>
      </c>
      <c r="M279" s="22">
        <f>INT(VLOOKUP($K279,$A$305:$G$309,2,0))</f>
        <v>10110</v>
      </c>
      <c r="N279" s="23" t="str">
        <f>IF(M279=M278,"",K279)</f>
        <v/>
      </c>
      <c r="O279" s="24" t="str">
        <f>VLOOKUP($K279,$A$305:$G$309,3,0)</f>
        <v>Russland</v>
      </c>
      <c r="P279" s="22">
        <f>VLOOKUP($K279,$A$305:$K$309,11,0)</f>
        <v>0</v>
      </c>
      <c r="Q279" s="25">
        <f>VLOOKUP($K279,$A$305:$G$309,4,0)</f>
        <v>0</v>
      </c>
      <c r="R279" s="18">
        <f>VLOOKUP($K279,$A$305:$G$309,5,0)</f>
        <v>0</v>
      </c>
      <c r="S279" s="18">
        <f>VLOOKUP($K279,$A$305:$G$309,6,0)</f>
        <v>0</v>
      </c>
      <c r="T279" s="19">
        <f>VLOOKUP($K279,$A$305:$G$309,7,0)</f>
        <v>0</v>
      </c>
      <c r="U279" s="14">
        <f>VLOOKUP($K279,$A$305:$M$309,12,0)</f>
        <v>0</v>
      </c>
      <c r="V279" s="1">
        <f>VLOOKUP($K279,$A$305:$M$309,13,0)</f>
        <v>0</v>
      </c>
      <c r="W279" s="20">
        <f>P279-U279-V279</f>
        <v>0</v>
      </c>
      <c r="X279" s="25" t="str">
        <f>VLOOKUP($K279,$A$305:$G$309,4,0)&amp;" "&amp;VLOOKUP($K279,$A$305:$P$309,15,0)</f>
        <v xml:space="preserve">0 </v>
      </c>
      <c r="Y279" s="1">
        <f>INT(VLOOKUP($K279,$A$305:$H$309,8,0))</f>
        <v>10000</v>
      </c>
      <c r="Z279" s="1">
        <f>IF(AND(Y$277=Y$278,OR(AND(D277=O$277,E277=O$278),AND(D277=O$278,E277=O$277))),3,0)</f>
        <v>0</v>
      </c>
      <c r="AA279" s="1" t="e">
        <f t="shared" si="84"/>
        <v>#N/A</v>
      </c>
      <c r="AB279" s="1" t="e">
        <f t="shared" si="85"/>
        <v>#N/A</v>
      </c>
      <c r="AC279" s="1" t="e">
        <f t="shared" si="86"/>
        <v>#N/A</v>
      </c>
      <c r="AD279" s="1" t="e">
        <f t="shared" si="87"/>
        <v>#N/A</v>
      </c>
      <c r="AF279" s="1">
        <f>IF(AND(Y$278=Y$279,OR(AND(D277=O$278,E277=O$279),AND(D277=O$279,E277=O$278))),3,0)</f>
        <v>0</v>
      </c>
      <c r="AG279" s="1" t="e">
        <f t="shared" si="88"/>
        <v>#N/A</v>
      </c>
      <c r="AH279" s="1" t="e">
        <f t="shared" si="89"/>
        <v>#N/A</v>
      </c>
      <c r="AI279" s="1" t="e">
        <f t="shared" si="90"/>
        <v>#N/A</v>
      </c>
      <c r="AJ279" s="1" t="e">
        <f t="shared" si="91"/>
        <v>#N/A</v>
      </c>
      <c r="AK279" s="1">
        <f>IF(AK278=3,2,IF(AK278=2,3,0))</f>
        <v>0</v>
      </c>
      <c r="AL279" s="1">
        <f>IF(AND($Y$279=$Y$280,OR(AND($D277=$O$279,$E277=$O$280),AND($D277=$O$280,$E277=$O$279))),3,0)</f>
        <v>0</v>
      </c>
      <c r="AM279" s="1" t="e">
        <f t="shared" si="92"/>
        <v>#N/A</v>
      </c>
      <c r="AN279" s="1" t="e">
        <f t="shared" si="93"/>
        <v>#N/A</v>
      </c>
      <c r="AO279" s="1" t="e">
        <f t="shared" si="94"/>
        <v>#N/A</v>
      </c>
      <c r="AP279" s="1" t="e">
        <f t="shared" si="95"/>
        <v>#N/A</v>
      </c>
      <c r="AQ279" s="1">
        <f>IF(ISERROR(AO284),0,IF(AO284=0,0,IF(OR(AND(AM284=O279,AO284&gt;0),AND(AN284=O279,AO284&lt;0)),3,4)))</f>
        <v>0</v>
      </c>
      <c r="AS279" s="23" t="str">
        <f>IF(AND(OR(AR285=1,AE279+AK279+AQ279=0),M279=M278),"",3)</f>
        <v/>
      </c>
      <c r="AT279" s="24" t="str">
        <f>VLOOKUP($K279,$L$277:$W$280,4,0)</f>
        <v>Russland</v>
      </c>
      <c r="AU279" s="22">
        <f>VLOOKUP($K279,$L$277:$W$280,5,0)</f>
        <v>0</v>
      </c>
      <c r="AV279" s="25" t="str">
        <f>VLOOKUP($K279,$L$277:$X$280,13,0)</f>
        <v xml:space="preserve">0 </v>
      </c>
      <c r="AW279" s="18">
        <f>VLOOKUP($K279,$L$277:$W$280,7,0)</f>
        <v>0</v>
      </c>
      <c r="AX279" s="18">
        <f>VLOOKUP($K279,$L$277:$W$280,8,0)</f>
        <v>0</v>
      </c>
      <c r="AY279" s="19">
        <f>VLOOKUP($K279,$L$277:$W$280,9,0)</f>
        <v>0</v>
      </c>
      <c r="AZ279" s="51">
        <f>VLOOKUP($K279,$L$277:$W$280,10,0)</f>
        <v>0</v>
      </c>
      <c r="BA279" s="22">
        <f>VLOOKUP($K279,$L$277:$W$280,11,0)</f>
        <v>0</v>
      </c>
      <c r="BB279" s="66">
        <f>VLOOKUP($K279,$L$277:$W$280,12,0)</f>
        <v>0</v>
      </c>
    </row>
    <row r="280" spans="1:54" ht="15.75" thickBot="1">
      <c r="A280" s="71"/>
      <c r="B280" s="72" t="s">
        <v>60</v>
      </c>
      <c r="C280" s="1">
        <v>6</v>
      </c>
      <c r="D280" s="46" t="str">
        <f>B278</f>
        <v>Algerien</v>
      </c>
      <c r="E280" s="46" t="str">
        <f>B279</f>
        <v>Russland</v>
      </c>
      <c r="F280" s="69"/>
      <c r="G280" s="70"/>
      <c r="H280" s="246">
        <v>41816.916666666664</v>
      </c>
      <c r="I280" s="1">
        <f>IF(F278="",0,IF(F278=G278,J$118,IF(F278&gt;G278,I$118,0)))</f>
        <v>0</v>
      </c>
      <c r="J280" s="1">
        <f>IF(G278="",0,IF(F278=G278,J$118,IF(F278&lt;G278,I$118,0)))</f>
        <v>0</v>
      </c>
      <c r="K280" s="1">
        <v>4</v>
      </c>
      <c r="L280" s="1">
        <f>IF(OR(Q$277+Q$278+Q$279=3*Q$277,Q$280+Q$278+Q$279=3*Q$280,AE280+AK280+AQ280=0),K280,AE280+AK280+AQ280)</f>
        <v>4</v>
      </c>
      <c r="M280" s="22">
        <f>INT(VLOOKUP($K280,$A$305:$G$309,2,0))</f>
        <v>10110</v>
      </c>
      <c r="N280" s="26" t="str">
        <f>IF(M280=M279,"",K280)</f>
        <v/>
      </c>
      <c r="O280" s="27" t="str">
        <f>VLOOKUP($K280,$A$305:$G$309,3,0)</f>
        <v>Südkorea</v>
      </c>
      <c r="P280" s="28">
        <f>VLOOKUP($K280,$A$305:$K$309,11,0)</f>
        <v>0</v>
      </c>
      <c r="Q280" s="25">
        <f>VLOOKUP($K280,$A$305:$G$309,4,0)</f>
        <v>0</v>
      </c>
      <c r="R280" s="30">
        <f>VLOOKUP($K280,$A$305:$G$309,5,0)</f>
        <v>0</v>
      </c>
      <c r="S280" s="30">
        <f>VLOOKUP($K280,$A$305:$G$309,6,0)</f>
        <v>0</v>
      </c>
      <c r="T280" s="31">
        <f>VLOOKUP($K280,$A$305:$G$309,7,0)</f>
        <v>0</v>
      </c>
      <c r="U280" s="32">
        <f>VLOOKUP($K280,$A$305:$M$309,12,0)</f>
        <v>0</v>
      </c>
      <c r="V280" s="33">
        <f>VLOOKUP($K280,$A$305:$M$309,13,0)</f>
        <v>0</v>
      </c>
      <c r="W280" s="34">
        <f>P280-U280-V280</f>
        <v>0</v>
      </c>
      <c r="X280" s="25" t="str">
        <f>VLOOKUP($K280,$A$305:$G$309,4,0)&amp;" "&amp;VLOOKUP($K280,$A$305:$P$309,15,0)</f>
        <v xml:space="preserve">0 </v>
      </c>
      <c r="Y280" s="1">
        <f>INT(VLOOKUP($K280,$A$305:$H$309,8,0))</f>
        <v>10000</v>
      </c>
      <c r="Z280" s="1">
        <f>IF(AND(Y$277=Y$278,OR(AND(D278=O$277,E278=O$278),AND(D278=O$278,E278=O$277))),4,0)</f>
        <v>0</v>
      </c>
      <c r="AA280" s="1" t="e">
        <f t="shared" si="84"/>
        <v>#N/A</v>
      </c>
      <c r="AB280" s="1" t="e">
        <f t="shared" si="85"/>
        <v>#N/A</v>
      </c>
      <c r="AC280" s="1" t="e">
        <f t="shared" si="86"/>
        <v>#N/A</v>
      </c>
      <c r="AD280" s="1" t="e">
        <f t="shared" si="87"/>
        <v>#N/A</v>
      </c>
      <c r="AF280" s="1">
        <f>IF(AND(Y$278=Y$279,OR(AND(D278=O$278,E278=O$279),AND(D278=O$279,E278=O$278))),4,0)</f>
        <v>0</v>
      </c>
      <c r="AG280" s="1" t="e">
        <f t="shared" si="88"/>
        <v>#N/A</v>
      </c>
      <c r="AH280" s="1" t="e">
        <f t="shared" si="89"/>
        <v>#N/A</v>
      </c>
      <c r="AI280" s="1" t="e">
        <f t="shared" si="90"/>
        <v>#N/A</v>
      </c>
      <c r="AJ280" s="1" t="e">
        <f t="shared" si="91"/>
        <v>#N/A</v>
      </c>
      <c r="AL280" s="1">
        <f>IF(AND($Y$279=$Y$280,OR(AND($D278=$O$279,$E278=$O$280),AND($D278=$O$280,$E278=$O$279))),4,0)</f>
        <v>0</v>
      </c>
      <c r="AM280" s="1" t="e">
        <f t="shared" si="92"/>
        <v>#N/A</v>
      </c>
      <c r="AN280" s="1" t="e">
        <f t="shared" si="93"/>
        <v>#N/A</v>
      </c>
      <c r="AO280" s="1" t="e">
        <f t="shared" si="94"/>
        <v>#N/A</v>
      </c>
      <c r="AP280" s="1" t="e">
        <f t="shared" si="95"/>
        <v>#N/A</v>
      </c>
      <c r="AQ280" s="1">
        <f>IF(AQ279=4,3,IF(AQ279=3,4,0))</f>
        <v>0</v>
      </c>
      <c r="AS280" s="26" t="str">
        <f>IF(AND(OR(AR286=1,AE280+AK280+AQ280=0),M280=M279),"",4)</f>
        <v/>
      </c>
      <c r="AT280" s="27" t="str">
        <f>VLOOKUP($K280,$L$277:$W$280,4,0)</f>
        <v>Südkorea</v>
      </c>
      <c r="AU280" s="35">
        <f>VLOOKUP($K280,$L$277:$W$280,5,0)</f>
        <v>0</v>
      </c>
      <c r="AV280" s="29" t="str">
        <f>VLOOKUP($K280,$L$277:$X$280,13,0)</f>
        <v xml:space="preserve">0 </v>
      </c>
      <c r="AW280" s="30">
        <f>VLOOKUP($K280,$L$277:$W$280,7,0)</f>
        <v>0</v>
      </c>
      <c r="AX280" s="30">
        <f>VLOOKUP($K280,$L$277:$W$280,8,0)</f>
        <v>0</v>
      </c>
      <c r="AY280" s="31">
        <f>VLOOKUP($K280,$L$277:$W$280,9,0)</f>
        <v>0</v>
      </c>
      <c r="AZ280" s="67">
        <f>VLOOKUP($K280,$L$277:$W$280,10,0)</f>
        <v>0</v>
      </c>
      <c r="BA280" s="35">
        <f>VLOOKUP($K280,$L$277:$W$280,11,0)</f>
        <v>0</v>
      </c>
      <c r="BB280" s="68">
        <f>VLOOKUP($K280,$L$277:$W$280,12,0)</f>
        <v>0</v>
      </c>
    </row>
    <row r="281" spans="1:54" ht="15">
      <c r="B281" s="48"/>
      <c r="D281" s="14"/>
      <c r="E281" s="14"/>
      <c r="F281" s="14"/>
      <c r="G281" s="14"/>
      <c r="I281" s="1">
        <f>IF(F279="",0,IF(F279=G279,J$118,IF(F279&gt;G279,I$118,0)))</f>
        <v>0</v>
      </c>
      <c r="J281" s="1">
        <f>IF(G279="",0,IF(F279=G279,J$118,IF(F279&lt;G279,I$118,0)))</f>
        <v>0</v>
      </c>
      <c r="K281" s="1">
        <v>5</v>
      </c>
      <c r="M281" s="22">
        <f>INT(VLOOKUP($K281,$A$305:$G$309,2,0))</f>
        <v>10510</v>
      </c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Z281" s="1">
        <f>IF(AND(Y$277=Y$278,OR(AND(D279=O$277,E279=O$278),AND(D279=O$278,E279=O$277))),5,0)</f>
        <v>0</v>
      </c>
      <c r="AA281" s="1" t="e">
        <f t="shared" si="84"/>
        <v>#N/A</v>
      </c>
      <c r="AB281" s="1" t="e">
        <f t="shared" si="85"/>
        <v>#N/A</v>
      </c>
      <c r="AC281" s="1" t="e">
        <f t="shared" si="86"/>
        <v>#N/A</v>
      </c>
      <c r="AD281" s="1" t="e">
        <f t="shared" si="87"/>
        <v>#N/A</v>
      </c>
      <c r="AF281" s="1">
        <f>IF(AND(Y$278=Y$279,OR(AND(D279=O$278,E279=O$279),AND(D279=O$279,E279=O$278))),5,0)</f>
        <v>0</v>
      </c>
      <c r="AG281" s="1" t="e">
        <f t="shared" si="88"/>
        <v>#N/A</v>
      </c>
      <c r="AH281" s="1" t="e">
        <f t="shared" si="89"/>
        <v>#N/A</v>
      </c>
      <c r="AI281" s="1" t="e">
        <f t="shared" si="90"/>
        <v>#N/A</v>
      </c>
      <c r="AJ281" s="1" t="e">
        <f t="shared" si="91"/>
        <v>#N/A</v>
      </c>
      <c r="AL281" s="1">
        <f>IF(AND($Y$279=$Y$280,OR(AND($D279=$O$279,$E279=$O$280),AND($D279=$O$280,$E279=$O$279))),5,0)</f>
        <v>0</v>
      </c>
      <c r="AM281" s="1" t="e">
        <f t="shared" si="92"/>
        <v>#N/A</v>
      </c>
      <c r="AN281" s="1" t="e">
        <f t="shared" si="93"/>
        <v>#N/A</v>
      </c>
      <c r="AO281" s="1" t="e">
        <f t="shared" si="94"/>
        <v>#N/A</v>
      </c>
      <c r="AP281" s="1" t="e">
        <f t="shared" si="95"/>
        <v>#N/A</v>
      </c>
      <c r="AS281" s="40" t="str">
        <f>IF(AND(P282=12,SUM(AS277:AS279)&lt;&gt;6),"UEFA / Fairplay / Los !","")</f>
        <v/>
      </c>
      <c r="AT281" s="24"/>
      <c r="AU281" s="22"/>
      <c r="AV281" s="25"/>
      <c r="AW281" s="18"/>
    </row>
    <row r="282" spans="1:54" hidden="1" outlineLevel="1">
      <c r="B282" s="48"/>
      <c r="D282" s="14"/>
      <c r="E282" s="14"/>
      <c r="F282" s="14"/>
      <c r="G282" s="14"/>
      <c r="I282" s="1">
        <f>IF(F288="",0,IF(F288=G288,J$273,IF(F288&gt;G288,I$273,0)))</f>
        <v>0</v>
      </c>
      <c r="J282" s="1">
        <f>IF(G288="",0,IF(F288=G288,J$273,IF(F288&lt;G288,I$273,0)))</f>
        <v>0</v>
      </c>
      <c r="P282" s="1">
        <f>SUM(P277:P281)</f>
        <v>0</v>
      </c>
      <c r="Z282" s="1">
        <f>IF(AND(Y$277=Y$278,OR(AND(D280=O$277,E280=O$278),AND(D280=O$278,E280=O$277))),6,0)</f>
        <v>0</v>
      </c>
      <c r="AA282" s="1" t="e">
        <f t="shared" si="84"/>
        <v>#N/A</v>
      </c>
      <c r="AB282" s="1" t="e">
        <f t="shared" si="85"/>
        <v>#N/A</v>
      </c>
      <c r="AC282" s="1" t="e">
        <f t="shared" si="86"/>
        <v>#N/A</v>
      </c>
      <c r="AD282" s="1" t="e">
        <f t="shared" si="87"/>
        <v>#N/A</v>
      </c>
      <c r="AF282" s="1">
        <f>IF(AND(Y$278=Y$279,OR(AND(D280=O$278,E280=O$279),AND(D280=O$279,E280=O$278))),6,0)</f>
        <v>6</v>
      </c>
      <c r="AG282" s="1" t="str">
        <f t="shared" si="88"/>
        <v>Algerien</v>
      </c>
      <c r="AH282" s="1" t="str">
        <f t="shared" si="89"/>
        <v>Russland</v>
      </c>
      <c r="AI282" s="1">
        <f t="shared" si="90"/>
        <v>0</v>
      </c>
      <c r="AJ282" s="1">
        <f t="shared" si="91"/>
        <v>0</v>
      </c>
      <c r="AL282" s="1">
        <f>IF(AND($Y$279=$Y$280,OR(AND($D280=$O$279,$E280=$O$280),AND($D280=$O$280,$E280=$O$279))),6,0)</f>
        <v>0</v>
      </c>
      <c r="AM282" s="1" t="e">
        <f t="shared" si="92"/>
        <v>#N/A</v>
      </c>
      <c r="AN282" s="1" t="e">
        <f t="shared" si="93"/>
        <v>#N/A</v>
      </c>
      <c r="AO282" s="1" t="e">
        <f t="shared" si="94"/>
        <v>#N/A</v>
      </c>
      <c r="AP282" s="1" t="e">
        <f t="shared" si="95"/>
        <v>#N/A</v>
      </c>
      <c r="AR282" s="1">
        <f>IF(ISERROR(AC284),0,1)+IF(ISERROR(AI284),0,1)</f>
        <v>2</v>
      </c>
    </row>
    <row r="283" spans="1:54" hidden="1" outlineLevel="1">
      <c r="B283" s="48"/>
      <c r="D283" s="14"/>
      <c r="E283" s="14"/>
      <c r="F283" s="14"/>
      <c r="G283" s="14"/>
      <c r="I283" s="1">
        <f>IF(F280="",0,IF(F280=G280,J$273,IF(F280&gt;G280,I$273,0)))</f>
        <v>0</v>
      </c>
      <c r="J283" s="1">
        <f>IF(G280="",0,IF(F280=G280,J$273,IF(F280&lt;G280,I$273,0)))</f>
        <v>0</v>
      </c>
      <c r="AB283"/>
      <c r="AR283" s="1">
        <f>IF(ISERROR(AO284),0,1)+IF(ISERROR(AI284),0,1)</f>
        <v>2</v>
      </c>
    </row>
    <row r="284" spans="1:54" hidden="1" outlineLevel="1">
      <c r="B284" s="48"/>
      <c r="D284" s="14"/>
      <c r="E284" s="14"/>
      <c r="F284" s="14"/>
      <c r="G284" s="14"/>
      <c r="I284" s="1">
        <f>IF(F289="",0,IF(F289=G289,J$273,IF(F289&gt;G289,I$273,0)))</f>
        <v>0</v>
      </c>
      <c r="J284" s="1">
        <f>IF(G289="",0,IF(F289=G289,J$273,IF(F289&lt;G289,I$273,0)))</f>
        <v>0</v>
      </c>
      <c r="Z284" s="1">
        <f>MAX(Z277:Z282)</f>
        <v>1</v>
      </c>
      <c r="AA284" s="1" t="str">
        <f>VLOOKUP(Z284,Z277:AD282,2,0)</f>
        <v>Belgien</v>
      </c>
      <c r="AB284" s="1" t="str">
        <f>VLOOKUP(Z284,Z277:AD282,3,0)</f>
        <v>Algerien</v>
      </c>
      <c r="AC284" s="1">
        <f>VLOOKUP(Z284,Z277:AD282,4,0)-VLOOKUP(Z284,Z277:AD282,5,0)</f>
        <v>0</v>
      </c>
      <c r="AF284" s="1">
        <f>MAX(AF277:AF282)</f>
        <v>6</v>
      </c>
      <c r="AG284" s="1" t="str">
        <f>VLOOKUP(AF284,AF277:AJ282,2,0)</f>
        <v>Algerien</v>
      </c>
      <c r="AH284" s="1" t="str">
        <f>VLOOKUP(AF284,AF277:AJ282,3,0)</f>
        <v>Russland</v>
      </c>
      <c r="AI284" s="1">
        <f>VLOOKUP(AF284,AF277:AJ282,4,0)-VLOOKUP(AF284,AF277:AJ282,5,0)</f>
        <v>0</v>
      </c>
      <c r="AL284" s="1">
        <f>MAX(AL277:AL282)</f>
        <v>2</v>
      </c>
      <c r="AM284" s="1" t="str">
        <f>VLOOKUP(AL284,AL277:AP282,2,0)</f>
        <v>Russland</v>
      </c>
      <c r="AN284" s="1" t="str">
        <f>VLOOKUP(AL284,AL277:AP282,3,0)</f>
        <v>Südkorea</v>
      </c>
      <c r="AO284" s="1">
        <f>VLOOKUP(AL284,AL277:AP282,4,0)-VLOOKUP(AL284,AL277:AP282,5,0)</f>
        <v>0</v>
      </c>
      <c r="AR284" s="1">
        <f>IF(OR(AR282=2,AR283=2),1,0)</f>
        <v>1</v>
      </c>
    </row>
    <row r="285" spans="1:54" hidden="1" outlineLevel="1">
      <c r="B285" s="48"/>
    </row>
    <row r="286" spans="1:54" ht="15.75" hidden="1" outlineLevel="1" thickBot="1">
      <c r="B286" s="49" t="s">
        <v>12</v>
      </c>
      <c r="D286" s="3" t="str">
        <f>B$286</f>
        <v>#######</v>
      </c>
      <c r="E286" s="3" t="str">
        <f>B277</f>
        <v>Belgien</v>
      </c>
      <c r="F286" s="5"/>
      <c r="G286" s="6"/>
      <c r="N286" s="26">
        <f>IF(M281=M280,"",K281)</f>
        <v>5</v>
      </c>
      <c r="O286" s="27" t="str">
        <f>VLOOKUP($K281,$A$305:$G$309,3,0)</f>
        <v>#######</v>
      </c>
      <c r="P286" s="28">
        <f>VLOOKUP($K281,$A$305:$K$309,11,0)</f>
        <v>0</v>
      </c>
      <c r="Q286" s="29">
        <f>VLOOKUP($K281,$A$305:$G$309,4,0)</f>
        <v>0</v>
      </c>
      <c r="R286" s="30">
        <f>VLOOKUP($K281,$A$305:$G$309,5,0)</f>
        <v>-100</v>
      </c>
      <c r="S286" s="30">
        <f>VLOOKUP($K281,$A$305:$G$309,6,0)</f>
        <v>0</v>
      </c>
      <c r="T286" s="31">
        <f>VLOOKUP($K281,$A$305:$G$309,7,0)</f>
        <v>-100</v>
      </c>
      <c r="U286" s="32">
        <f>VLOOKUP($K281,$A$305:$M$309,12,0)</f>
        <v>0</v>
      </c>
      <c r="V286" s="33">
        <f>VLOOKUP($K281,$A$305:$M$309,13,0)</f>
        <v>0</v>
      </c>
      <c r="W286" s="34">
        <f>P286-U286-V286</f>
        <v>0</v>
      </c>
    </row>
    <row r="287" spans="1:54" hidden="1" outlineLevel="1">
      <c r="B287" s="48"/>
      <c r="D287" s="3" t="str">
        <f>B$280</f>
        <v>Südkorea</v>
      </c>
      <c r="E287" s="3" t="str">
        <f>B286</f>
        <v>#######</v>
      </c>
      <c r="F287" s="5"/>
      <c r="G287" s="6"/>
      <c r="AA287" s="5"/>
      <c r="AB287" s="6"/>
    </row>
    <row r="288" spans="1:54" hidden="1" outlineLevel="1">
      <c r="B288" s="48"/>
      <c r="D288" s="3" t="str">
        <f>B286</f>
        <v>#######</v>
      </c>
      <c r="E288" s="3" t="str">
        <f>B278</f>
        <v>Algerien</v>
      </c>
      <c r="F288" s="5"/>
      <c r="G288" s="6"/>
      <c r="AA288" s="5"/>
      <c r="AB288" s="6"/>
    </row>
    <row r="289" spans="2:28" hidden="1" outlineLevel="1">
      <c r="B289" s="48"/>
      <c r="D289" s="3" t="str">
        <f>B279</f>
        <v>Russland</v>
      </c>
      <c r="E289" s="3" t="str">
        <f>B286</f>
        <v>#######</v>
      </c>
      <c r="F289" s="5"/>
      <c r="G289" s="6"/>
      <c r="AA289" s="5"/>
      <c r="AB289" s="6"/>
    </row>
    <row r="290" spans="2:28" hidden="1" outlineLevel="1">
      <c r="B290" s="48"/>
      <c r="AA290" s="5"/>
      <c r="AB290" s="6"/>
    </row>
    <row r="291" spans="2:28" hidden="1" outlineLevel="1">
      <c r="B291" s="48"/>
      <c r="D291" s="3" t="str">
        <f>B277</f>
        <v>Belgien</v>
      </c>
      <c r="G291" s="1" t="str">
        <f>B278</f>
        <v>Algerien</v>
      </c>
      <c r="J291" s="1" t="str">
        <f>B279</f>
        <v>Russland</v>
      </c>
      <c r="M291" s="1" t="str">
        <f>B280</f>
        <v>Südkorea</v>
      </c>
      <c r="P291" s="1" t="str">
        <f>B286</f>
        <v>#######</v>
      </c>
      <c r="AA291" s="5"/>
      <c r="AB291" s="6"/>
    </row>
    <row r="292" spans="2:28" hidden="1" outlineLevel="1">
      <c r="B292" s="48"/>
      <c r="D292" s="3" t="s">
        <v>13</v>
      </c>
      <c r="E292" s="36" t="s">
        <v>4</v>
      </c>
      <c r="F292" s="21" t="s">
        <v>14</v>
      </c>
      <c r="G292" s="22" t="s">
        <v>13</v>
      </c>
      <c r="H292" s="60" t="s">
        <v>4</v>
      </c>
      <c r="I292" s="21" t="s">
        <v>14</v>
      </c>
      <c r="J292" s="22" t="s">
        <v>13</v>
      </c>
      <c r="K292" s="37" t="s">
        <v>4</v>
      </c>
      <c r="L292" s="21" t="s">
        <v>14</v>
      </c>
      <c r="M292" s="22" t="s">
        <v>13</v>
      </c>
      <c r="N292" s="37" t="s">
        <v>4</v>
      </c>
      <c r="O292" s="21" t="s">
        <v>14</v>
      </c>
      <c r="P292" s="22" t="s">
        <v>13</v>
      </c>
      <c r="Q292" s="37" t="s">
        <v>4</v>
      </c>
      <c r="R292" s="21" t="s">
        <v>14</v>
      </c>
      <c r="AA292" s="5"/>
      <c r="AB292" s="6"/>
    </row>
    <row r="293" spans="2:28" hidden="1" outlineLevel="1">
      <c r="B293" s="48"/>
      <c r="D293" s="3" t="str">
        <f>IF(AND(OR($D275=D$291,$E275=D$291),$F275=""),"A",IF($D275=D$291,$I275,0)+IF($E275=D$291,$J275,0))</f>
        <v>A</v>
      </c>
      <c r="E293" s="3">
        <f>IF($D275=D$291,$F275,0)+IF($E275=D$291,$G275,0)</f>
        <v>0</v>
      </c>
      <c r="F293" s="1">
        <f>IF($D275=D$291,-$G275,0)+IF($E275=D$291,-$F275,0)</f>
        <v>0</v>
      </c>
      <c r="G293" s="22" t="str">
        <f>IF(AND(OR($D275=G$291,$E275=G$291),$F275=""),"A",IF($D275=G$291,$I275,0)+IF($E275=G$291,$J275,0))</f>
        <v>A</v>
      </c>
      <c r="H293" s="59">
        <f>IF($D275=G$291,$F275,0)+IF($E275=G$291,$G275,0)</f>
        <v>0</v>
      </c>
      <c r="I293" s="1">
        <f>IF($D275=G$291,-$G275,0)+IF($E275=G$291,-$F275,0)</f>
        <v>0</v>
      </c>
      <c r="J293" s="22">
        <f>IF(AND(OR($D275=J$291,$E275=J$291),$F275=""),"A",IF($D275=J$291,$I275,0)+IF($E275=J$291,$J275,0))</f>
        <v>0</v>
      </c>
      <c r="K293" s="22">
        <f>IF($D275=J$291,$F275,0)+IF($E275=J$291,$G275,0)</f>
        <v>0</v>
      </c>
      <c r="L293" s="1">
        <f>IF($D275=J$291,-$G275,0)+IF($E275=J$291,-$F275,0)</f>
        <v>0</v>
      </c>
      <c r="M293" s="22">
        <f>IF(AND(OR($D275=M$291,$E275=M$291),$F275=""),"A",IF($D275=M$291,$I275,0)+IF($E275=M$291,$J275,0))</f>
        <v>0</v>
      </c>
      <c r="N293" s="22">
        <f>IF($D275=M$291,$F275,0)+IF($E275=M$291,$G275,0)</f>
        <v>0</v>
      </c>
      <c r="O293" s="1">
        <f>IF($D275=M$291,-$G275,0)+IF($E275=M$291,-$F275,0)</f>
        <v>0</v>
      </c>
      <c r="P293" s="22">
        <f>IF(AND(OR($D275=P$291,$E275=P$291),$F275=""),"A",IF($D275=P$291,$I275,0)+IF($E275=P$291,$J275,0))</f>
        <v>0</v>
      </c>
      <c r="Q293" s="22">
        <f>IF($D275=P$291,$F275,0)+IF($E275=P$291,$G275,0)</f>
        <v>0</v>
      </c>
      <c r="R293" s="1">
        <f>IF($D275=P$291,-$G275,0)+IF($E275=P$291,-$F275,0)</f>
        <v>0</v>
      </c>
    </row>
    <row r="294" spans="2:28" hidden="1" outlineLevel="1">
      <c r="B294" s="48"/>
      <c r="D294" s="3">
        <f>IF(AND(OR($D276=D$291,$E276=D$291),$F276=""),"A",IF($D276=D$291,$I276,0)+IF($E276=D$291,$J276,0))</f>
        <v>0</v>
      </c>
      <c r="E294" s="3">
        <f>IF($D276=$B$277,$F276,0)+IF($E276=$B$277,$G276,0)</f>
        <v>0</v>
      </c>
      <c r="F294" s="1">
        <f>IF($D276=$B$277,-$G276,0)+IF($E276=$B$277,-$F276,0)</f>
        <v>0</v>
      </c>
      <c r="G294" s="22">
        <f>IF(AND(OR($D276=G$291,$E276=G$291),$F276=""),"A",IF($D276=G$291,$I276,0)+IF($E276=G$291,$J276,0))</f>
        <v>0</v>
      </c>
      <c r="H294" s="59">
        <f>IF($D276=G$291,$F276,0)+IF($E276=G$291,$G276,0)</f>
        <v>0</v>
      </c>
      <c r="I294" s="1">
        <f>IF($D276=G$291,-$G276,0)+IF($E276=G$291,-$F276,0)</f>
        <v>0</v>
      </c>
      <c r="J294" s="22" t="str">
        <f>IF(AND(OR($D276=J$291,$E276=J$291),$F276=""),"A",IF($D276=J$291,$I276,0)+IF($E276=J$291,$J276,0))</f>
        <v>A</v>
      </c>
      <c r="K294" s="22">
        <f>IF($D276=J$291,$F276,0)+IF($E276=J$291,$G276,0)</f>
        <v>0</v>
      </c>
      <c r="L294" s="1">
        <f>IF($D276=J$291,-$G276,0)+IF($E276=J$291,-$F276,0)</f>
        <v>0</v>
      </c>
      <c r="M294" s="22" t="str">
        <f>IF(AND(OR($D276=M$291,$E276=M$291),$F276=""),"A",IF($D276=M$291,$I276,0)+IF($E276=M$291,$J276,0))</f>
        <v>A</v>
      </c>
      <c r="N294" s="22">
        <f>IF($D276=M$291,$F276,0)+IF($E276=M$291,$G276,0)</f>
        <v>0</v>
      </c>
      <c r="O294" s="1">
        <f>IF($D276=M$291,-$G276,0)+IF($E276=M$291,-$F276,0)</f>
        <v>0</v>
      </c>
      <c r="P294" s="22">
        <f>IF(AND(OR($D276=P$291,$E276=P$291),$F276=""),"A",IF($D276=P$291,$I276,0)+IF($E276=P$291,$J276,0))</f>
        <v>0</v>
      </c>
      <c r="Q294" s="22">
        <f>IF($D276=P$291,$F276,0)+IF($E276=P$291,$G276,0)</f>
        <v>0</v>
      </c>
      <c r="R294" s="1">
        <f>IF($D276=P$291,-$G276,0)+IF($E276=P$291,-$F276,0)</f>
        <v>0</v>
      </c>
    </row>
    <row r="295" spans="2:28" hidden="1" outlineLevel="1">
      <c r="B295" s="48"/>
      <c r="D295" s="3" t="str">
        <f>IF(AND(OR($D286=D$291,$E286=D$291),$F286=""),"A",IF($D286=D$291,$I277,0)+IF($E286=D$291,$J277,0))</f>
        <v>A</v>
      </c>
      <c r="E295" s="3">
        <f>IF($D286=$B$277,$F286,0)+IF($E286=$B$277,$G286,0)</f>
        <v>0</v>
      </c>
      <c r="F295" s="1">
        <f>IF($D286=$B$277,-$G286,0)+IF($E286=$B$277,-$F286,0)</f>
        <v>0</v>
      </c>
      <c r="G295" s="22">
        <f>IF(AND(OR($D286=G$291,$E286=G$291),$F286=""),"A",IF($D286=G$291,$I277,0)+IF($E286=G$291,$J277,0))</f>
        <v>0</v>
      </c>
      <c r="H295" s="59">
        <f>IF($D286=G$291,$F286,0)+IF($E286=G$291,$G286,0)</f>
        <v>0</v>
      </c>
      <c r="I295" s="1">
        <f>IF($D286=G$291,-$G286,0)+IF($E286=G$291,-$F286,0)</f>
        <v>0</v>
      </c>
      <c r="J295" s="22">
        <f>IF(AND(OR($D286=J$291,$E286=J$291),$F286=""),"A",IF($D286=J$291,$I277,0)+IF($E286=J$291,$J277,0))</f>
        <v>0</v>
      </c>
      <c r="K295" s="22">
        <f>IF($D286=J$291,$F286,0)+IF($E286=J$291,$G286,0)</f>
        <v>0</v>
      </c>
      <c r="L295" s="1">
        <f>IF($D286=J$291,-$G286,0)+IF($E286=J$291,-$F286,0)</f>
        <v>0</v>
      </c>
      <c r="M295" s="22">
        <f>IF(AND(OR($D286=M$291,$E286=M$291),$F286=""),"A",IF($D286=M$291,$I277,0)+IF($E286=M$291,$J277,0))</f>
        <v>0</v>
      </c>
      <c r="N295" s="22">
        <f>IF($D286=M$291,$F286,0)+IF($E286=M$291,$G286,0)</f>
        <v>0</v>
      </c>
      <c r="O295" s="1">
        <f>IF($D286=M$291,-$G286,0)+IF($E286=M$291,-$F286,0)</f>
        <v>0</v>
      </c>
      <c r="P295" s="22" t="str">
        <f>IF(AND(OR($D286=P$291,$E286=P$291),$F286=""),"A",IF($D286=P$291,$I277,0)+IF($E286=P$291,$J277,0))</f>
        <v>A</v>
      </c>
      <c r="Q295" s="22">
        <f>IF($D286=P$291,$F286,0)+IF($E286=P$291,$G286,0)</f>
        <v>0</v>
      </c>
      <c r="R295" s="1">
        <f>IF($D286=P$291,-$G286,0)+IF($E286=P$291,-$F286,0)</f>
        <v>0</v>
      </c>
    </row>
    <row r="296" spans="2:28" hidden="1" outlineLevel="1">
      <c r="B296" s="48"/>
      <c r="D296" s="3" t="str">
        <f>IF(AND(OR($D277=D$291,$E277=D$291),$F277=""),"A",IF($D277=D$291,$I278,0)+IF($E277=D$291,$J278,0))</f>
        <v>A</v>
      </c>
      <c r="E296" s="3">
        <f>IF($D277=$B$277,$F277,0)+IF($E277=$B$277,$G277,0)</f>
        <v>0</v>
      </c>
      <c r="F296" s="1">
        <f>IF($D277=$B$277,-$G277,0)+IF($E277=$B$277,-$F277,0)</f>
        <v>0</v>
      </c>
      <c r="G296" s="22">
        <f>IF(AND(OR($D277=G$291,$E277=G$291),$F277=""),"A",IF($D277=G$291,$I278,0)+IF($E277=G$291,$J278,0))</f>
        <v>0</v>
      </c>
      <c r="H296" s="59">
        <f>IF($D277=G$291,$F277,0)+IF($E277=G$291,$G277,0)</f>
        <v>0</v>
      </c>
      <c r="I296" s="1">
        <f>IF($D277=G$291,-$G277,0)+IF($E277=G$291,-$F277,0)</f>
        <v>0</v>
      </c>
      <c r="J296" s="22" t="str">
        <f>IF(AND(OR($D277=J$291,$E277=J$291),$F277=""),"A",IF($D277=J$291,$I278,0)+IF($E277=J$291,$J278,0))</f>
        <v>A</v>
      </c>
      <c r="K296" s="22">
        <f>IF($D277=J$291,$F277,0)+IF($E277=J$291,$G277,0)</f>
        <v>0</v>
      </c>
      <c r="L296" s="1">
        <f>IF($D277=J$291,-$G277,0)+IF($E277=J$291,-$F277,0)</f>
        <v>0</v>
      </c>
      <c r="M296" s="22">
        <f>IF(AND(OR($D277=M$291,$E277=M$291),$F277=""),"A",IF($D277=M$291,$I278,0)+IF($E277=M$291,$J278,0))</f>
        <v>0</v>
      </c>
      <c r="N296" s="22">
        <f>IF($D277=M$291,$F277,0)+IF($E277=M$291,$G277,0)</f>
        <v>0</v>
      </c>
      <c r="O296" s="1">
        <f>IF($D277=M$291,-$G277,0)+IF($E277=M$291,-$F277,0)</f>
        <v>0</v>
      </c>
      <c r="P296" s="22">
        <f>IF(AND(OR($D277=P$291,$E277=P$291),$F277=""),"A",IF($D277=P$291,$I278,0)+IF($E277=P$291,$J278,0))</f>
        <v>0</v>
      </c>
      <c r="Q296" s="22">
        <f>IF($D277=P$291,$F277,0)+IF($E277=P$291,$G277,0)</f>
        <v>0</v>
      </c>
      <c r="R296" s="1">
        <f>IF($D277=P$291,-$G277,0)+IF($E277=P$291,-$F277,0)</f>
        <v>0</v>
      </c>
    </row>
    <row r="297" spans="2:28" hidden="1" outlineLevel="1">
      <c r="B297" s="48"/>
      <c r="D297" s="3">
        <f>IF(AND(OR($D287=D$291,$E287=D$291),$F287=""),"A",IF($D287=D$291,$I279,0)+IF($E287=D$291,$J279,0))</f>
        <v>0</v>
      </c>
      <c r="E297" s="3">
        <f>IF($D287=$B$277,$F287,0)+IF($E287=$B$277,$G287,0)</f>
        <v>0</v>
      </c>
      <c r="F297" s="1">
        <f>IF($D287=$B$277,-$G287,0)+IF($E287=$B$277,-$F287,0)</f>
        <v>0</v>
      </c>
      <c r="G297" s="22">
        <f>IF(AND(OR($D287=G$291,$E287=G$291),$F287=""),"A",IF($D287=G$291,$I279,0)+IF($E287=G$291,$J279,0))</f>
        <v>0</v>
      </c>
      <c r="H297" s="59">
        <f>IF($D287=G$291,$F287,0)+IF($E287=G$291,$G287,0)</f>
        <v>0</v>
      </c>
      <c r="I297" s="1">
        <f>IF($D287=G$291,-$G287,0)+IF($E287=G$291,-$F287,0)</f>
        <v>0</v>
      </c>
      <c r="J297" s="22">
        <f>IF(AND(OR($D287=J$291,$E287=J$291),$F287=""),"A",IF($D287=J$291,$I279,0)+IF($E287=J$291,$J279,0))</f>
        <v>0</v>
      </c>
      <c r="K297" s="22">
        <f>IF($D287=J$291,$F287,0)+IF($E287=J$291,$G287,0)</f>
        <v>0</v>
      </c>
      <c r="L297" s="1">
        <f>IF($D287=J$291,-$G287,0)+IF($E287=J$291,-$F287,0)</f>
        <v>0</v>
      </c>
      <c r="M297" s="22" t="str">
        <f>IF(AND(OR($D287=M$291,$E287=M$291),$F287=""),"A",IF($D287=M$291,$I279,0)+IF($E287=M$291,$J279,0))</f>
        <v>A</v>
      </c>
      <c r="N297" s="22">
        <f>IF($D287=M$291,$F287,0)+IF($E287=M$291,$G287,0)</f>
        <v>0</v>
      </c>
      <c r="O297" s="1">
        <f>IF($D287=M$291,-$G287,0)+IF($E287=M$291,-$F287,0)</f>
        <v>0</v>
      </c>
      <c r="P297" s="22" t="str">
        <f>IF(AND(OR($D287=P$291,$E287=P$291),$F287=""),"A",IF($D287=P$291,$I279,0)+IF($E287=P$291,$J279,0))</f>
        <v>A</v>
      </c>
      <c r="Q297" s="22">
        <f>IF($D287=P$291,$F287,0)+IF($E287=P$291,$G287,0)</f>
        <v>0</v>
      </c>
      <c r="R297" s="1">
        <f>IF($D287=P$291,-$G287,0)+IF($E287=P$291,-$F287,0)</f>
        <v>0</v>
      </c>
    </row>
    <row r="298" spans="2:28" hidden="1" outlineLevel="1">
      <c r="B298" s="48"/>
      <c r="D298" s="3">
        <f>IF(AND(OR($D278=D$291,$E278=D$291),$F278=""),"A",IF($D278=D$291,$I280,0)+IF($E278=D$291,$J280,0))</f>
        <v>0</v>
      </c>
      <c r="E298" s="3">
        <f>IF($D278=$B$277,$F278,0)+IF($E278=$B$277,$G278,0)</f>
        <v>0</v>
      </c>
      <c r="F298" s="1">
        <f>IF($D278=$B$277,-$G278,0)+IF($E278=$B$277,-$F278,0)</f>
        <v>0</v>
      </c>
      <c r="G298" s="22" t="str">
        <f>IF(AND(OR($D278=G$291,$E278=G$291),$F278=""),"A",IF($D278=G$291,$I280,0)+IF($E278=G$291,$J280,0))</f>
        <v>A</v>
      </c>
      <c r="H298" s="59">
        <f>IF($D278=G$291,$F278,0)+IF($E278=G$291,$G278,0)</f>
        <v>0</v>
      </c>
      <c r="I298" s="1">
        <f>IF($D278=G$291,-$G278,0)+IF($E278=G$291,-$F278,0)</f>
        <v>0</v>
      </c>
      <c r="J298" s="22">
        <f>IF(AND(OR($D278=J$291,$E278=J$291),$F278=""),"A",IF($D278=J$291,$I280,0)+IF($E278=J$291,$J280,0))</f>
        <v>0</v>
      </c>
      <c r="K298" s="22">
        <f>IF($D278=J$291,$F278,0)+IF($E278=J$291,$G278,0)</f>
        <v>0</v>
      </c>
      <c r="L298" s="1">
        <f>IF($D278=J$291,-$G278,0)+IF($E278=J$291,-$F278,0)</f>
        <v>0</v>
      </c>
      <c r="M298" s="22" t="str">
        <f>IF(AND(OR($D278=M$291,$E278=M$291),$F278=""),"A",IF($D278=M$291,$I280,0)+IF($E278=M$291,$J280,0))</f>
        <v>A</v>
      </c>
      <c r="N298" s="22">
        <f>IF($D278=M$291,$F278,0)+IF($E278=M$291,$G278,0)</f>
        <v>0</v>
      </c>
      <c r="O298" s="1">
        <f>IF($D278=M$291,-$G278,0)+IF($E278=M$291,-$F278,0)</f>
        <v>0</v>
      </c>
      <c r="P298" s="22">
        <f>IF(AND(OR($D278=P$291,$E278=P$291),$F278=""),"A",IF($D278=P$291,$I280,0)+IF($E278=P$291,$J280,0))</f>
        <v>0</v>
      </c>
      <c r="Q298" s="22">
        <f>IF($D278=P$291,$F278,0)+IF($E278=P$291,$G278,0)</f>
        <v>0</v>
      </c>
      <c r="R298" s="1">
        <f>IF($D278=P$291,-$G278,0)+IF($E278=P$291,-$F278,0)</f>
        <v>0</v>
      </c>
    </row>
    <row r="299" spans="2:28" hidden="1" outlineLevel="1">
      <c r="B299" s="48"/>
      <c r="D299" s="3" t="str">
        <f>IF(AND(OR($D279=D$291,$E279=D$291),$F279=""),"A",IF($D279=D$291,$I281,0)+IF($E279=D$291,$J281,0))</f>
        <v>A</v>
      </c>
      <c r="E299" s="3">
        <f>IF($D279=$B$277,$F279,0)+IF($E279=$B$277,$G279,0)</f>
        <v>0</v>
      </c>
      <c r="F299" s="1">
        <f>IF($D279=$B$277,-$G279,0)+IF($E279=$B$277,-$F279,0)</f>
        <v>0</v>
      </c>
      <c r="G299" s="22">
        <f>IF(AND(OR($D279=G$291,$E279=G$291),$F279=""),"A",IF($D279=G$291,$I281,0)+IF($E279=G$291,$J281,0))</f>
        <v>0</v>
      </c>
      <c r="H299" s="59">
        <f>IF($D279=G$291,$F279,0)+IF($E279=G$291,$G279,0)</f>
        <v>0</v>
      </c>
      <c r="I299" s="1">
        <f>IF($D279=G$291,-$G279,0)+IF($E279=G$291,-$F279,0)</f>
        <v>0</v>
      </c>
      <c r="J299" s="22">
        <f>IF(AND(OR($D279=J$291,$E279=J$291),$F279=""),"A",IF($D279=J$291,$I281,0)+IF($E279=J$291,$J281,0))</f>
        <v>0</v>
      </c>
      <c r="K299" s="22">
        <f>IF($D279=J$291,$F279,0)+IF($E279=J$291,$G279,0)</f>
        <v>0</v>
      </c>
      <c r="L299" s="1">
        <f>IF($D279=J$291,-$G279,0)+IF($E279=J$291,-$F279,0)</f>
        <v>0</v>
      </c>
      <c r="M299" s="22" t="str">
        <f>IF(AND(OR($D279=M$291,$E279=M$291),$F279=""),"A",IF($D279=M$291,$I281,0)+IF($E279=M$291,$J281,0))</f>
        <v>A</v>
      </c>
      <c r="N299" s="22">
        <f>IF($D279=M$291,$F279,0)+IF($E279=M$291,$G279,0)</f>
        <v>0</v>
      </c>
      <c r="O299" s="1">
        <f>IF($D279=M$291,-$G279,0)+IF($E279=M$291,-$F279,0)</f>
        <v>0</v>
      </c>
      <c r="P299" s="22">
        <f>IF(AND(OR($D279=P$291,$E279=P$291),$F279=""),"A",IF($D279=P$291,$I281,0)+IF($E279=P$291,$J281,0))</f>
        <v>0</v>
      </c>
      <c r="Q299" s="22">
        <f>IF($D279=P$291,$F279,0)+IF($E279=P$291,$G279,0)</f>
        <v>0</v>
      </c>
      <c r="R299" s="1">
        <f>IF($D279=P$291,-$G279,0)+IF($E279=P$291,-$F279,0)</f>
        <v>0</v>
      </c>
    </row>
    <row r="300" spans="2:28" hidden="1" outlineLevel="1">
      <c r="B300" s="48"/>
      <c r="D300" s="3">
        <f>IF(AND(OR($D288=D$291,$E288=D$291),$F288=""),"A",IF($D288=D$291,$I282,0)+IF($E288=D$291,$J282,0))</f>
        <v>0</v>
      </c>
      <c r="E300" s="3">
        <f>IF($D288=$B$277,$F288,0)+IF($E288=$B$277,$G288,0)</f>
        <v>0</v>
      </c>
      <c r="F300" s="1">
        <f>IF($D288=$B$277,-$G288,0)+IF($E288=$B$277,-$F288,0)</f>
        <v>0</v>
      </c>
      <c r="G300" s="22" t="str">
        <f>IF(AND(OR($D288=G$291,$E288=G$291),$F288=""),"A",IF($D288=G$291,$I282,0)+IF($E288=G$291,$J282,0))</f>
        <v>A</v>
      </c>
      <c r="H300" s="59">
        <f>IF($D288=G$291,$F288,0)+IF($E288=G$291,$G288,0)</f>
        <v>0</v>
      </c>
      <c r="I300" s="1">
        <f>IF($D288=G$291,-$G288,0)+IF($E288=G$291,-$F288,0)</f>
        <v>0</v>
      </c>
      <c r="J300" s="22">
        <f>IF(AND(OR($D288=J$291,$E288=J$291),$F288=""),"A",IF($D288=J$291,$I282,0)+IF($E288=J$291,$J282,0))</f>
        <v>0</v>
      </c>
      <c r="K300" s="22">
        <f>IF($D288=J$291,$F288,0)+IF($E288=J$291,$G288,0)</f>
        <v>0</v>
      </c>
      <c r="L300" s="1">
        <f>IF($D288=J$291,-$G288,0)+IF($E288=J$291,-$F288,0)</f>
        <v>0</v>
      </c>
      <c r="M300" s="22">
        <f>IF(AND(OR($D288=M$291,$E288=M$291),$F288=""),"A",IF($D288=M$291,$I282,0)+IF($E288=M$291,$J282,0))</f>
        <v>0</v>
      </c>
      <c r="N300" s="22">
        <f>IF($D288=M$291,$F288,0)+IF($E288=M$291,$G288,0)</f>
        <v>0</v>
      </c>
      <c r="O300" s="1">
        <f>IF($D288=M$291,-$G288,0)+IF($E288=M$291,-$F288,0)</f>
        <v>0</v>
      </c>
      <c r="P300" s="22" t="str">
        <f>IF(AND(OR($D288=P$291,$E288=P$291),$F288=""),"A",IF($D288=P$291,$I282,0)+IF($E288=P$291,$J282,0))</f>
        <v>A</v>
      </c>
      <c r="Q300" s="22">
        <f>IF($D288=P$291,$F288,0)+IF($E288=P$291,$G288,0)</f>
        <v>0</v>
      </c>
      <c r="R300" s="1">
        <f>IF($D288=P$291,-$G288,0)+IF($E288=P$291,-$F288,0)</f>
        <v>0</v>
      </c>
    </row>
    <row r="301" spans="2:28" hidden="1" outlineLevel="1">
      <c r="B301" s="48"/>
      <c r="D301" s="3">
        <f>IF(AND(OR($D280=D$291,$E280=D$291),$F280=""),"A",IF($D280=D$291,$I283,0)+IF($E280=D$291,$J283,0))</f>
        <v>0</v>
      </c>
      <c r="E301" s="3">
        <f>IF($D280=$B$277,$F280,0)+IF($E280=$B$277,$G280,0)</f>
        <v>0</v>
      </c>
      <c r="F301" s="1">
        <f>IF($D280=$B$277,-$G280,0)+IF($E280=$B$277,-$F280,0)</f>
        <v>0</v>
      </c>
      <c r="G301" s="22" t="str">
        <f>IF(AND(OR($D280=G$291,$E280=G$291),$F280=""),"A",IF($D280=G$291,$I283,0)+IF($E280=G$291,$J283,0))</f>
        <v>A</v>
      </c>
      <c r="H301" s="59">
        <f>IF($D280=G$291,$F280,0)+IF($E280=G$291,$G280,0)</f>
        <v>0</v>
      </c>
      <c r="I301" s="1">
        <f>IF($D280=G$291,-$G280,0)+IF($E280=G$291,-$F280,0)</f>
        <v>0</v>
      </c>
      <c r="J301" s="22" t="str">
        <f>IF(AND(OR($D280=J$291,$E280=J$291),$F280=""),"A",IF($D280=J$291,$I283,0)+IF($E280=J$291,$J283,0))</f>
        <v>A</v>
      </c>
      <c r="K301" s="22">
        <f>IF($D280=J$291,$F280,0)+IF($E280=J$291,$G280,0)</f>
        <v>0</v>
      </c>
      <c r="L301" s="1">
        <f>IF($D280=J$291,-$G280,0)+IF($E280=J$291,-$F280,0)</f>
        <v>0</v>
      </c>
      <c r="M301" s="22">
        <f>IF(AND(OR($D280=M$291,$E280=M$291),$F280=""),"A",IF($D280=M$291,$I283,0)+IF($E280=M$291,$J283,0))</f>
        <v>0</v>
      </c>
      <c r="N301" s="22">
        <f>IF($D280=M$291,$F280,0)+IF($E280=M$291,$G280,0)</f>
        <v>0</v>
      </c>
      <c r="O301" s="1">
        <f>IF($D280=M$291,-$G280,0)+IF($E280=M$291,-$F280,0)</f>
        <v>0</v>
      </c>
      <c r="P301" s="22">
        <f>IF(AND(OR($D280=P$291,$E280=P$291),$F280=""),"A",IF($D280=P$291,$I283,0)+IF($E280=P$291,$J283,0))</f>
        <v>0</v>
      </c>
      <c r="Q301" s="22">
        <f>IF($D280=P$291,$F280,0)+IF($E280=P$291,$G280,0)</f>
        <v>0</v>
      </c>
      <c r="R301" s="1">
        <f>IF($D280=P$291,-$G280,0)+IF($E280=P$291,-$F280,0)</f>
        <v>0</v>
      </c>
    </row>
    <row r="302" spans="2:28" hidden="1" outlineLevel="1">
      <c r="B302" s="48"/>
      <c r="D302" s="3">
        <f>IF(AND(OR($D289=D$291,$E289=D$291),$F289=""),"A",IF($D289=D$291,$I284,0)+IF($E289=D$291,$J284,0))</f>
        <v>0</v>
      </c>
      <c r="E302" s="3">
        <f>IF($D289=$B$277,$F289,0)+IF($E289=$B$277,$G289,0)</f>
        <v>0</v>
      </c>
      <c r="F302" s="1">
        <f>IF($D289=$B$277,-$G289,0)+IF($E289=$B$277,-$F289,0)</f>
        <v>0</v>
      </c>
      <c r="G302" s="22">
        <f>IF(AND(OR($D289=G$291,$E289=G$291),$F289=""),"A",IF($D289=G$291,$I284,0)+IF($E289=G$291,$J284,0))</f>
        <v>0</v>
      </c>
      <c r="H302" s="59">
        <f>IF($D289=G$291,$F289,0)+IF($E289=G$291,$G289,0)</f>
        <v>0</v>
      </c>
      <c r="I302" s="1">
        <f>IF($D289=G$291,-$G289,0)+IF($E289=G$291,-$F289,0)</f>
        <v>0</v>
      </c>
      <c r="J302" s="22" t="str">
        <f>IF(AND(OR($D289=J$291,$E289=J$291),$F289=""),"A",IF($D289=J$291,$I284,0)+IF($E289=J$291,$J284,0))</f>
        <v>A</v>
      </c>
      <c r="K302" s="22">
        <f>IF($D289=J$291,$F289,0)+IF($E289=J$291,$G289,0)</f>
        <v>0</v>
      </c>
      <c r="L302" s="1">
        <f>IF($D289=J$291,-$G289,0)+IF($E289=J$291,-$F289,0)</f>
        <v>0</v>
      </c>
      <c r="M302" s="22">
        <f>IF(AND(OR($D289=M$291,$E289=M$291),$F289=""),"A",IF($D289=M$291,$I284,0)+IF($E289=M$291,$J284,0))</f>
        <v>0</v>
      </c>
      <c r="N302" s="22">
        <f>IF($D289=M$291,$F289,0)+IF($E289=M$291,$G289,0)</f>
        <v>0</v>
      </c>
      <c r="O302" s="1">
        <f>IF($D289=M$291,-$G289,0)+IF($E289=M$291,-$F289,0)</f>
        <v>0</v>
      </c>
      <c r="P302" s="22" t="str">
        <f>IF(AND(OR($D289=P$291,$E289=P$291),$F289=""),"A",IF($D289=P$291,$I284,0)+IF($E289=P$291,$J284,0))</f>
        <v>A</v>
      </c>
      <c r="Q302" s="22">
        <f>IF($D289=P$291,$F289,0)+IF($E289=P$291,$G289,0)</f>
        <v>0</v>
      </c>
      <c r="R302" s="1">
        <f>IF($D289=P$291,-$G289,0)+IF($E289=P$291,-$F289,0)</f>
        <v>0</v>
      </c>
    </row>
    <row r="303" spans="2:28" hidden="1" outlineLevel="1">
      <c r="B303" s="48"/>
    </row>
    <row r="304" spans="2:28" hidden="1" outlineLevel="1">
      <c r="B304" s="48"/>
      <c r="H304" s="59" t="s">
        <v>15</v>
      </c>
      <c r="I304" s="1" t="s">
        <v>16</v>
      </c>
      <c r="J304" s="38" t="s">
        <v>4</v>
      </c>
      <c r="K304" s="1" t="s">
        <v>17</v>
      </c>
    </row>
    <row r="305" spans="1:46" hidden="1" outlineLevel="1">
      <c r="A305" s="21">
        <f>RANK(B305,B$305:B$309,1)</f>
        <v>1</v>
      </c>
      <c r="B305" s="48">
        <f>SUM(H305:J305)+ROW()/1000</f>
        <v>10110.305</v>
      </c>
      <c r="C305" s="22" t="str">
        <f>B277</f>
        <v>Belgien</v>
      </c>
      <c r="D305" s="3">
        <f>SUM(D293:D302)</f>
        <v>0</v>
      </c>
      <c r="E305" s="3">
        <f>F305+G305</f>
        <v>0</v>
      </c>
      <c r="F305" s="22">
        <f>SUM(E293:E302)</f>
        <v>0</v>
      </c>
      <c r="G305" s="22">
        <f>SUM(F293:F302)</f>
        <v>0</v>
      </c>
      <c r="H305" s="59">
        <f>10000*RANK(D305,D$305:D$309)-N305</f>
        <v>10000</v>
      </c>
      <c r="I305" s="1">
        <f>100*RANK(E305,E$305:E$309)</f>
        <v>100</v>
      </c>
      <c r="J305" s="1">
        <f>10*RANK(F305,F$305:F$309)</f>
        <v>10</v>
      </c>
      <c r="K305" s="1">
        <f>4-COUNTIF(D$293:D$302,"A")</f>
        <v>0</v>
      </c>
      <c r="L305" s="1">
        <f>COUNTIF(D$293:D$302,I$273)</f>
        <v>0</v>
      </c>
      <c r="M305" s="1">
        <f>COUNTIF(D$293:D$302,J$273)</f>
        <v>0</v>
      </c>
      <c r="N305" s="1">
        <f>IF(A277&lt;&gt;"",500,0)</f>
        <v>0</v>
      </c>
      <c r="O305" s="39" t="str">
        <f>IF(A277&lt;&gt;"",UPPER(A277),"")</f>
        <v/>
      </c>
    </row>
    <row r="306" spans="1:46" hidden="1" outlineLevel="1">
      <c r="A306" s="21">
        <f>RANK(B306,B$305:B$309,1)</f>
        <v>2</v>
      </c>
      <c r="B306" s="48">
        <f>SUM(H306:J306)+ROW()/1000</f>
        <v>10110.306</v>
      </c>
      <c r="C306" s="22" t="str">
        <f>B278</f>
        <v>Algerien</v>
      </c>
      <c r="D306" s="3">
        <f>SUM(G293:G302)</f>
        <v>0</v>
      </c>
      <c r="E306" s="3">
        <f>F306+G306</f>
        <v>0</v>
      </c>
      <c r="F306" s="22">
        <f>SUM(H293:H302)</f>
        <v>0</v>
      </c>
      <c r="G306" s="22">
        <f>SUM(I293:I302)</f>
        <v>0</v>
      </c>
      <c r="H306" s="59">
        <f>10000*RANK(D306,D$305:D$309)-N306</f>
        <v>10000</v>
      </c>
      <c r="I306" s="1">
        <f>100*RANK(E306,E$305:E$309)</f>
        <v>100</v>
      </c>
      <c r="J306" s="1">
        <f>10*RANK(F306,F$305:F$309)</f>
        <v>10</v>
      </c>
      <c r="K306" s="1">
        <f>4-COUNTIF(G$293:G$302,"A")</f>
        <v>0</v>
      </c>
      <c r="L306" s="1">
        <f>COUNTIF(G$293:G$302,I$273)</f>
        <v>0</v>
      </c>
      <c r="M306" s="1">
        <f>COUNTIF(G$293:G$302,J$273)</f>
        <v>0</v>
      </c>
      <c r="N306" s="1">
        <f>IF(A278&lt;&gt;"",500,0)</f>
        <v>0</v>
      </c>
      <c r="O306" s="39" t="str">
        <f>IF(A278&lt;&gt;"",UPPER(A278),"")</f>
        <v/>
      </c>
    </row>
    <row r="307" spans="1:46" hidden="1" outlineLevel="1">
      <c r="A307" s="21">
        <f>RANK(B307,B$305:B$309,1)</f>
        <v>3</v>
      </c>
      <c r="B307" s="48">
        <f>SUM(H307:J307)+ROW()/1000</f>
        <v>10110.307000000001</v>
      </c>
      <c r="C307" s="22" t="str">
        <f>B279</f>
        <v>Russland</v>
      </c>
      <c r="D307" s="3">
        <f>SUM(J293:J302)</f>
        <v>0</v>
      </c>
      <c r="E307" s="3">
        <f>F307+G307</f>
        <v>0</v>
      </c>
      <c r="F307" s="22">
        <f>SUM(K293:K302)</f>
        <v>0</v>
      </c>
      <c r="G307" s="22">
        <f>SUM(L293:L302)</f>
        <v>0</v>
      </c>
      <c r="H307" s="59">
        <f>10000*RANK(D307,D$305:D$309)-N307</f>
        <v>10000</v>
      </c>
      <c r="I307" s="1">
        <f>100*RANK(E307,E$305:E$309)</f>
        <v>100</v>
      </c>
      <c r="J307" s="1">
        <f>10*RANK(F307,F$305:F$309)</f>
        <v>10</v>
      </c>
      <c r="K307" s="1">
        <f>4-COUNTIF(J$293:J$302,"A")</f>
        <v>0</v>
      </c>
      <c r="L307" s="1">
        <f>COUNTIF(J$293:J$302,I$273)</f>
        <v>0</v>
      </c>
      <c r="M307" s="1">
        <f>COUNTIF(J$293:J$302,J$273)</f>
        <v>0</v>
      </c>
      <c r="N307" s="1">
        <f>IF(A279&lt;&gt;"",500,0)</f>
        <v>0</v>
      </c>
      <c r="O307" s="39" t="str">
        <f>IF(A279&lt;&gt;"",UPPER(A279),"")</f>
        <v/>
      </c>
    </row>
    <row r="308" spans="1:46" hidden="1" outlineLevel="1">
      <c r="A308" s="21">
        <f>RANK(B308,B$305:B$309,1)</f>
        <v>4</v>
      </c>
      <c r="B308" s="48">
        <f>SUM(H308:J308)+ROW()/1000</f>
        <v>10110.308000000001</v>
      </c>
      <c r="C308" s="22" t="str">
        <f>B280</f>
        <v>Südkorea</v>
      </c>
      <c r="D308" s="3">
        <f>SUM(M293:M302)</f>
        <v>0</v>
      </c>
      <c r="E308" s="3">
        <f>F308+G308</f>
        <v>0</v>
      </c>
      <c r="F308" s="22">
        <f>SUM(N293:N302)</f>
        <v>0</v>
      </c>
      <c r="G308" s="22">
        <f>SUM(O293:O302)</f>
        <v>0</v>
      </c>
      <c r="H308" s="59">
        <f>10000*RANK(D308,D$305:D$309)-N308</f>
        <v>10000</v>
      </c>
      <c r="I308" s="1">
        <f>100*RANK(E308,E$305:E$309)</f>
        <v>100</v>
      </c>
      <c r="J308" s="1">
        <f>10*RANK(F308,F$305:F$309)</f>
        <v>10</v>
      </c>
      <c r="K308" s="1">
        <f>4-COUNTIF(M$293:M$302,"A")</f>
        <v>0</v>
      </c>
      <c r="L308" s="1">
        <f>COUNTIF(M$293:M$302,I$273)</f>
        <v>0</v>
      </c>
      <c r="M308" s="1">
        <f>COUNTIF(M$293:M$302,J$273)</f>
        <v>0</v>
      </c>
      <c r="N308" s="1">
        <f>IF(A280&lt;&gt;"",500,0)</f>
        <v>0</v>
      </c>
      <c r="O308" s="39" t="str">
        <f>IF(A280&lt;&gt;"",UPPER(A280),"")</f>
        <v/>
      </c>
    </row>
    <row r="309" spans="1:46" hidden="1" outlineLevel="1">
      <c r="A309" s="21">
        <f>RANK(B309,B$305:B$309,1)</f>
        <v>5</v>
      </c>
      <c r="B309" s="48">
        <f>SUM(H309:J309)+ROW()/1000</f>
        <v>10510.308999999999</v>
      </c>
      <c r="C309" s="22" t="str">
        <f>B286</f>
        <v>#######</v>
      </c>
      <c r="D309" s="3">
        <v>0</v>
      </c>
      <c r="E309" s="3">
        <f>F309+G309</f>
        <v>-100</v>
      </c>
      <c r="F309" s="22">
        <v>0</v>
      </c>
      <c r="G309" s="22">
        <v>-100</v>
      </c>
      <c r="H309" s="59">
        <f>10000*RANK(D309,D$305:D$309)-N309</f>
        <v>10000</v>
      </c>
      <c r="I309" s="1">
        <f>100*RANK(E309,E$305:E$309)</f>
        <v>500</v>
      </c>
      <c r="J309" s="1">
        <f>10*RANK(F309,F$305:F$309)</f>
        <v>10</v>
      </c>
      <c r="K309" s="1">
        <f>4-COUNTIF(P$293:P$302,"A")</f>
        <v>0</v>
      </c>
      <c r="L309" s="1">
        <f>COUNTIF(P$293:P$302,I$273)</f>
        <v>0</v>
      </c>
      <c r="M309" s="1">
        <f>COUNTIF(P$293:P$302,J$273)</f>
        <v>0</v>
      </c>
      <c r="N309" s="1">
        <f>IF(A281&lt;&gt;"",500,0)</f>
        <v>0</v>
      </c>
      <c r="O309" s="39" t="str">
        <f>IF(A281&lt;&gt;"",UPPER(A281),"")</f>
        <v/>
      </c>
    </row>
    <row r="310" spans="1:46" hidden="1" outlineLevel="1">
      <c r="B310" s="48"/>
    </row>
    <row r="311" spans="1:46" hidden="1" outlineLevel="1">
      <c r="B311" s="48"/>
      <c r="C311" s="14"/>
      <c r="D311" s="14"/>
      <c r="E311" s="14"/>
      <c r="F311" s="14"/>
      <c r="G311" s="14"/>
    </row>
    <row r="312" spans="1:46" collapsed="1">
      <c r="B312" s="48"/>
      <c r="C312" s="14"/>
      <c r="D312" s="14"/>
      <c r="E312" s="14"/>
      <c r="F312" s="14"/>
      <c r="G312" s="14"/>
    </row>
    <row r="313" spans="1:46">
      <c r="B313" s="48"/>
      <c r="C313" s="14"/>
      <c r="D313" s="14"/>
      <c r="E313" s="14"/>
      <c r="F313" s="14"/>
      <c r="G313" s="14"/>
    </row>
    <row r="314" spans="1:46">
      <c r="B314" s="48"/>
      <c r="C314" s="14"/>
      <c r="D314" s="14"/>
      <c r="E314" s="14"/>
      <c r="F314" s="14"/>
      <c r="G314" s="14"/>
    </row>
    <row r="315" spans="1:46" ht="20.25">
      <c r="B315" s="41"/>
      <c r="C315" s="60" t="s">
        <v>194</v>
      </c>
      <c r="D315" s="46" t="str">
        <f>IF(AND(AS5=1,AS6=2),AT5,"1. A")</f>
        <v>1. A</v>
      </c>
      <c r="E315" s="46" t="str">
        <f>IF(AND(AS45=2,AS46=3),AT45,"2. B")</f>
        <v>2. B</v>
      </c>
      <c r="F315" s="69"/>
      <c r="G315" s="70"/>
      <c r="H315" s="246">
        <v>41818.75</v>
      </c>
      <c r="I315" s="1">
        <f t="shared" ref="I315:I322" si="96">F315+G315</f>
        <v>0</v>
      </c>
      <c r="N315"/>
      <c r="AS315" s="2" t="s">
        <v>131</v>
      </c>
    </row>
    <row r="316" spans="1:46" ht="20.25">
      <c r="B316" s="41"/>
      <c r="C316" s="60" t="s">
        <v>195</v>
      </c>
      <c r="D316" s="46" t="str">
        <f>IF(AND(AS83=1,AS84=2),AT83,"1. C")</f>
        <v>1. C</v>
      </c>
      <c r="E316" s="46" t="str">
        <f>IF(AND(AS123=2,AS124=3),AT123,"2. D")</f>
        <v>2. D</v>
      </c>
      <c r="F316" s="69"/>
      <c r="G316" s="70"/>
      <c r="H316" s="246">
        <v>41818.916666666664</v>
      </c>
      <c r="I316" s="1">
        <f t="shared" si="96"/>
        <v>0</v>
      </c>
      <c r="N316"/>
      <c r="AS316" s="2"/>
    </row>
    <row r="317" spans="1:46" ht="20.25">
      <c r="B317" s="41"/>
      <c r="C317" s="60" t="s">
        <v>196</v>
      </c>
      <c r="D317" s="46" t="str">
        <f>IF(AND(AS44=1,AS45=2),AT44,"1. B")</f>
        <v>1. B</v>
      </c>
      <c r="E317" s="46" t="str">
        <f>IF(AND(AS6=2,AS7=3),AT6,"2. A")</f>
        <v>2. A</v>
      </c>
      <c r="F317" s="69"/>
      <c r="G317" s="70"/>
      <c r="H317" s="246">
        <v>41819.75</v>
      </c>
      <c r="I317" s="1">
        <f t="shared" si="96"/>
        <v>0</v>
      </c>
      <c r="N317"/>
      <c r="AS317" s="2"/>
    </row>
    <row r="318" spans="1:46" ht="20.25">
      <c r="B318" s="41"/>
      <c r="C318" s="60" t="s">
        <v>197</v>
      </c>
      <c r="D318" s="46" t="str">
        <f>IF(AND(AS122=1,AS123=2),AT122,"1. D")</f>
        <v>1. D</v>
      </c>
      <c r="E318" s="46" t="str">
        <f>IF(AND(AS84=2,AS85=3),AT84,"2. C")</f>
        <v>2. C</v>
      </c>
      <c r="F318" s="69"/>
      <c r="G318" s="70"/>
      <c r="H318" s="246">
        <v>41819.916666666664</v>
      </c>
      <c r="I318" s="1">
        <f t="shared" si="96"/>
        <v>0</v>
      </c>
      <c r="N318"/>
      <c r="AN318" s="3"/>
      <c r="AO318" s="3"/>
      <c r="AS318" s="2"/>
    </row>
    <row r="319" spans="1:46" ht="20.25">
      <c r="B319" s="41"/>
      <c r="C319" s="60" t="s">
        <v>198</v>
      </c>
      <c r="D319" s="46" t="str">
        <f>IF(AND(AS160=1,AS161=2),AT160,"1. E")</f>
        <v>1. E</v>
      </c>
      <c r="E319" s="46" t="str">
        <f>IF(AND(AS200=2,AS201=3),AT200,"2. F")</f>
        <v>2. F</v>
      </c>
      <c r="F319" s="69"/>
      <c r="G319" s="70"/>
      <c r="H319" s="246">
        <v>41820.75</v>
      </c>
      <c r="I319" s="1">
        <f t="shared" si="96"/>
        <v>0</v>
      </c>
      <c r="N319"/>
      <c r="AN319" s="3"/>
      <c r="AO319" s="3"/>
      <c r="AS319" s="2"/>
    </row>
    <row r="320" spans="1:46" ht="20.25">
      <c r="B320" s="41"/>
      <c r="C320" s="60" t="s">
        <v>199</v>
      </c>
      <c r="D320" s="46" t="str">
        <f>IF(AND(AS238=1,AS239=2),AT238,"1. G")</f>
        <v>1. G</v>
      </c>
      <c r="E320" s="46" t="str">
        <f>IF(AND(AS278=2,AS279=3),AT278,"2. H")</f>
        <v>2. H</v>
      </c>
      <c r="F320" s="69"/>
      <c r="G320" s="70"/>
      <c r="H320" s="246">
        <v>41820.916666666664</v>
      </c>
      <c r="I320" s="1">
        <f t="shared" si="96"/>
        <v>0</v>
      </c>
      <c r="N320"/>
      <c r="AN320" s="3"/>
      <c r="AO320" s="3"/>
      <c r="AS320" s="2"/>
      <c r="AT320" s="129"/>
    </row>
    <row r="321" spans="2:46" ht="20.25">
      <c r="B321" s="41"/>
      <c r="C321" s="60" t="s">
        <v>200</v>
      </c>
      <c r="D321" s="46" t="str">
        <f>IF(AND(AS199=1,AS200=2),AT199,"1. F")</f>
        <v>1. F</v>
      </c>
      <c r="E321" s="46" t="str">
        <f>IF(AND(AS161=2,AS162=3),AT161,"2. E")</f>
        <v>2. E</v>
      </c>
      <c r="F321" s="69"/>
      <c r="G321" s="70"/>
      <c r="H321" s="246">
        <v>41821.75</v>
      </c>
      <c r="I321" s="1">
        <f t="shared" si="96"/>
        <v>0</v>
      </c>
      <c r="N321"/>
      <c r="AN321" s="3"/>
      <c r="AO321" s="3"/>
      <c r="AS321" s="2"/>
      <c r="AT321" s="129"/>
    </row>
    <row r="322" spans="2:46" ht="20.25">
      <c r="B322" s="41"/>
      <c r="C322" s="60" t="s">
        <v>201</v>
      </c>
      <c r="D322" s="46" t="str">
        <f>IF(AND(AS277=1,AS278=2),AT277,"1. H")</f>
        <v>1. H</v>
      </c>
      <c r="E322" s="46" t="str">
        <f>IF(AND(AS239=2,AS240=3),AT239,"2. G")</f>
        <v>2. G</v>
      </c>
      <c r="F322" s="69"/>
      <c r="G322" s="70"/>
      <c r="H322" s="246">
        <v>41821.916666666664</v>
      </c>
      <c r="I322" s="1">
        <f t="shared" si="96"/>
        <v>0</v>
      </c>
      <c r="N322"/>
      <c r="AN322" s="3"/>
      <c r="AO322" s="3"/>
      <c r="AS322" s="2"/>
      <c r="AT322" s="129"/>
    </row>
    <row r="323" spans="2:46">
      <c r="B323" s="48"/>
      <c r="C323" s="51"/>
      <c r="D323" s="14"/>
      <c r="E323" s="14"/>
      <c r="F323" s="14"/>
      <c r="G323" s="14"/>
      <c r="AN323" s="3"/>
      <c r="AO323" s="3"/>
    </row>
    <row r="324" spans="2:46">
      <c r="B324" s="48"/>
      <c r="C324" s="51"/>
      <c r="D324" s="14"/>
      <c r="E324" s="14"/>
      <c r="F324" s="14"/>
      <c r="G324" s="14"/>
    </row>
    <row r="325" spans="2:46" ht="20.25">
      <c r="B325" s="41"/>
      <c r="C325" s="59" t="s">
        <v>202</v>
      </c>
      <c r="D325" s="46" t="str">
        <f>IF(F315&gt;G315,D315,IF(F315&lt;G315,E315,"(1)"))</f>
        <v>(1)</v>
      </c>
      <c r="E325" s="46" t="str">
        <f>IF(F316&gt;G316,D316,IF(F316&lt;G316,E316,"(2)"))</f>
        <v>(2)</v>
      </c>
      <c r="F325" s="69"/>
      <c r="G325" s="70"/>
      <c r="H325" s="246">
        <v>41824.75</v>
      </c>
      <c r="I325" s="1">
        <f>F325+G325</f>
        <v>0</v>
      </c>
      <c r="N325"/>
      <c r="AS325" s="2" t="s">
        <v>132</v>
      </c>
    </row>
    <row r="326" spans="2:46" ht="20.25">
      <c r="B326" s="41"/>
      <c r="C326" s="59" t="s">
        <v>203</v>
      </c>
      <c r="D326" s="46" t="str">
        <f>IF(F319&gt;G319,D319,IF(F319&lt;G319,E319,"(5)"))</f>
        <v>(5)</v>
      </c>
      <c r="E326" s="46" t="str">
        <f>IF(F320&gt;G320,D320,IF(F320&lt;G320,E320,"(6)"))</f>
        <v>(6)</v>
      </c>
      <c r="F326" s="69"/>
      <c r="G326" s="70"/>
      <c r="H326" s="246">
        <v>41824.916666666664</v>
      </c>
      <c r="I326" s="1">
        <f>F326+G326</f>
        <v>0</v>
      </c>
      <c r="N326"/>
      <c r="AS326" s="2"/>
    </row>
    <row r="327" spans="2:46" ht="20.25">
      <c r="B327" s="41"/>
      <c r="C327" s="59" t="s">
        <v>204</v>
      </c>
      <c r="D327" s="46" t="str">
        <f>IF(F317&gt;G317,D317,IF(F317&lt;G317,E317,"(3)"))</f>
        <v>(3)</v>
      </c>
      <c r="E327" s="46" t="str">
        <f>IF(F318&gt;G318,D318,IF(F318&lt;G318,E318,"(4)"))</f>
        <v>(4)</v>
      </c>
      <c r="F327" s="69"/>
      <c r="G327" s="70"/>
      <c r="H327" s="246">
        <v>41825.75</v>
      </c>
      <c r="I327" s="1">
        <f>F327+G327</f>
        <v>0</v>
      </c>
      <c r="N327"/>
      <c r="AS327" s="2"/>
    </row>
    <row r="328" spans="2:46" ht="20.25">
      <c r="B328" s="41"/>
      <c r="C328" s="59" t="s">
        <v>205</v>
      </c>
      <c r="D328" s="46" t="str">
        <f>IF(F321&gt;G321,D321,IF(F321&lt;G321,E321,"(7)"))</f>
        <v>(7)</v>
      </c>
      <c r="E328" s="46" t="str">
        <f>IF(F322&gt;G322,D322,IF(F322&lt;G322,E322,"(8)"))</f>
        <v>(8)</v>
      </c>
      <c r="F328" s="69"/>
      <c r="G328" s="70"/>
      <c r="H328" s="246">
        <v>41825.916666666664</v>
      </c>
      <c r="I328" s="1">
        <f>F328+G328</f>
        <v>0</v>
      </c>
      <c r="N328"/>
      <c r="AS328" s="2"/>
    </row>
    <row r="329" spans="2:46">
      <c r="B329" s="41"/>
      <c r="N329"/>
    </row>
    <row r="330" spans="2:46">
      <c r="B330" s="41"/>
      <c r="N330"/>
    </row>
    <row r="331" spans="2:46" ht="20.25">
      <c r="B331" s="41"/>
      <c r="C331" s="129" t="s">
        <v>316</v>
      </c>
      <c r="D331" s="46" t="str">
        <f>IF(F325&gt;G325,D325,IF(F325&lt;G325,E325,"V1"))</f>
        <v>V1</v>
      </c>
      <c r="E331" s="46" t="str">
        <f>IF(F326&gt;G326,D326,IF(F326&lt;G326,E326,"V2"))</f>
        <v>V2</v>
      </c>
      <c r="F331" s="69"/>
      <c r="G331" s="70"/>
      <c r="H331" s="246">
        <v>41828.916666666664</v>
      </c>
      <c r="I331" s="1">
        <f>F331+G331</f>
        <v>0</v>
      </c>
      <c r="N331"/>
      <c r="AS331" s="42" t="s">
        <v>133</v>
      </c>
    </row>
    <row r="332" spans="2:46" ht="20.25">
      <c r="B332" s="41"/>
      <c r="C332" s="129" t="s">
        <v>317</v>
      </c>
      <c r="D332" s="46" t="str">
        <f>IF(F327&gt;G327,D327,IF(F327&lt;G327,E327,"V3"))</f>
        <v>V3</v>
      </c>
      <c r="E332" s="46" t="str">
        <f>IF(F328&gt;G328,D328,IF(F328&lt;G328,E328,"V4"))</f>
        <v>V4</v>
      </c>
      <c r="F332" s="69"/>
      <c r="G332" s="70"/>
      <c r="H332" s="246">
        <v>41829.916666608799</v>
      </c>
      <c r="I332" s="1">
        <f>F332+G332</f>
        <v>0</v>
      </c>
      <c r="N332"/>
      <c r="AS332" s="42"/>
    </row>
    <row r="333" spans="2:46">
      <c r="N333"/>
    </row>
    <row r="334" spans="2:46">
      <c r="N334"/>
    </row>
    <row r="335" spans="2:46" ht="20.25">
      <c r="B335" s="41"/>
      <c r="D335" s="46" t="str">
        <f>IF(F331&gt;G331,E331,IF(F331&lt;G331,D331,""))</f>
        <v/>
      </c>
      <c r="E335" s="46" t="str">
        <f>IF(F332&gt;G332,E332,IF(F332&lt;G332,D332,""))</f>
        <v/>
      </c>
      <c r="F335" s="69"/>
      <c r="G335" s="70"/>
      <c r="H335" s="246">
        <v>41832.916666666664</v>
      </c>
      <c r="I335" s="1">
        <f>F335+G335</f>
        <v>0</v>
      </c>
      <c r="N335"/>
      <c r="AS335" s="42" t="s">
        <v>134</v>
      </c>
    </row>
    <row r="336" spans="2:46">
      <c r="B336" s="41"/>
      <c r="N336"/>
    </row>
    <row r="337" spans="2:54">
      <c r="B337" s="41"/>
      <c r="N337"/>
    </row>
    <row r="338" spans="2:54" ht="20.25">
      <c r="B338" s="41"/>
      <c r="D338" s="46" t="str">
        <f>IF(F331&lt;G331,E331,IF(F331&gt;G331,D331,""))</f>
        <v/>
      </c>
      <c r="E338" s="46" t="str">
        <f>IF(F332&lt;G332,E332,IF(F332&gt;G332,D332,""))</f>
        <v/>
      </c>
      <c r="F338" s="69"/>
      <c r="G338" s="70"/>
      <c r="H338" s="246">
        <v>41833.875</v>
      </c>
      <c r="I338" s="1">
        <f>F338+G338</f>
        <v>0</v>
      </c>
      <c r="N338"/>
      <c r="AS338" s="42" t="s">
        <v>292</v>
      </c>
      <c r="AU338" s="164"/>
    </row>
    <row r="339" spans="2:54">
      <c r="AU339" s="164"/>
    </row>
    <row r="341" spans="2:54" ht="23.25">
      <c r="E341" s="14"/>
      <c r="F341" s="14"/>
      <c r="G341" s="43" t="s">
        <v>29</v>
      </c>
      <c r="H341" s="61" t="str">
        <f>K341</f>
        <v/>
      </c>
      <c r="K341" s="44" t="str">
        <f>IF(F338&lt;G338,E338,IF(F338&gt;G338,D338,""))</f>
        <v/>
      </c>
      <c r="Q341" s="164" t="s">
        <v>330</v>
      </c>
      <c r="X341" s="14"/>
    </row>
    <row r="342" spans="2:54">
      <c r="Q342" s="129" t="s">
        <v>212</v>
      </c>
      <c r="S342" s="129" t="s">
        <v>213</v>
      </c>
      <c r="U342" s="129" t="s">
        <v>214</v>
      </c>
      <c r="W342" s="129" t="s">
        <v>215</v>
      </c>
      <c r="Y342" s="129" t="s">
        <v>216</v>
      </c>
    </row>
    <row r="343" spans="2:54" ht="15">
      <c r="C343" s="136" t="s">
        <v>289</v>
      </c>
      <c r="M343" s="3" t="str">
        <f>B5</f>
        <v>Brasilien</v>
      </c>
      <c r="O343" s="1">
        <f>INDEX(AV:AV,MATCH(M343,AT:AT,0))+INDEX(AW:AW,MATCH(M343,AT:AT,0))/100+INDEX(AX:AX,MATCH(M343,AT:AT,0))/1000</f>
        <v>0</v>
      </c>
      <c r="Q343" s="134" t="e">
        <f>(INDEX(F$315:F$322,MATCH($M343,D$315:D$322,0))&gt;INDEX(G$315:G$322,MATCH($M343,D$315:D$322,0)))*10+ISNUMBER(MATCH($M343,D$315:D$322,0))*10</f>
        <v>#N/A</v>
      </c>
      <c r="R343" s="134" t="e">
        <f>(INDEX(G$315:G$322,MATCH($M343,E$315:E$322,0))&gt;INDEX(F$315:F$322,MATCH($M343,E$315:E$322,0)))*10+ISNUMBER(MATCH($M343,E$315:E$322,0))*10</f>
        <v>#N/A</v>
      </c>
      <c r="S343" s="1" t="e">
        <f>(INDEX(F$325:F$328,MATCH($M343,D$325:D$328,0))&gt;INDEX(G$325:G$328,MATCH($M343,D$325:D$328,0)))*10</f>
        <v>#N/A</v>
      </c>
      <c r="T343" s="1" t="e">
        <f>(INDEX(G$325:G$328,MATCH($M343,E$325:E$328,0))&gt;INDEX(F$325:F$328,MATCH($M343,E$325:E$328,0)))*10</f>
        <v>#N/A</v>
      </c>
      <c r="U343" s="134" t="e">
        <f>(INDEX(F$331:F$332,MATCH($M343,D$331:D$332,0))&gt;INDEX(G$331:G$332,MATCH($M343,D$331:D$332,0)))*20</f>
        <v>#N/A</v>
      </c>
      <c r="V343" s="134" t="e">
        <f>(INDEX(G$331:G$332,MATCH($M343,E$331:E$332,0))&gt;INDEX(F$331:F$332,MATCH($M343,E$331:E$332,0)))*20</f>
        <v>#N/A</v>
      </c>
      <c r="W343" s="135" t="e">
        <f>(INDEX(F$335:F$335,MATCH($M343,D$335:D$335,0))&gt;INDEX(G$335:G$335,MATCH($M343,D$335:D$335,0)))*10</f>
        <v>#N/A</v>
      </c>
      <c r="X343" s="135" t="e">
        <f>(INDEX(G$335:G$335,MATCH($M343,E$335:E$335,0))&gt;INDEX(F$335:F$335,MATCH($M343,E$335:E$335,0)))*10</f>
        <v>#N/A</v>
      </c>
      <c r="Y343" s="134" t="e">
        <f>(INDEX(F$338:F$338,MATCH($M343,D$338:D$338,0))&gt;INDEX(G$338:G$338,MATCH($M343,D$338:D$338,0)))*10</f>
        <v>#N/A</v>
      </c>
      <c r="Z343" s="134" t="e">
        <f>(INDEX(G$338:G$338,MATCH($M343,E$338:E$338,0))&gt;INDEX(F$338:F$338,MATCH($M343,E$338:E$338,0)))*10</f>
        <v>#N/A</v>
      </c>
      <c r="AA343" s="1">
        <f t="array" ref="AA343">SUM(IF(ISNUMBER(O343:Z343),O343:Z343))+ROW()/10000000</f>
        <v>3.43E-5</v>
      </c>
      <c r="AB343" s="138">
        <f t="shared" ref="AB343:AB374" si="97">INDEX(AA$343:AA$374,MATCH(D346,M$343:M$374,0))</f>
        <v>3.4400000000000003E-5</v>
      </c>
    </row>
    <row r="344" spans="2:54">
      <c r="M344" s="3" t="str">
        <f>B6</f>
        <v>Kroatien</v>
      </c>
      <c r="O344" s="1">
        <f t="shared" ref="O344:O374" si="98">INDEX(AV:AV,MATCH(M344,AT:AT,0))+INDEX(AW:AW,MATCH(M344,AT:AT,0))/100+INDEX(AX:AX,MATCH(M344,AT:AT,0))/1000</f>
        <v>0</v>
      </c>
      <c r="Q344" s="134" t="e">
        <f t="shared" ref="Q344:Q374" si="99">(INDEX(F$315:F$322,MATCH($M344,D$315:D$322,0))&gt;INDEX(G$315:G$322,MATCH($M344,D$315:D$322,0)))*10+ISNUMBER(MATCH($M344,D$315:D$322,0))*10</f>
        <v>#N/A</v>
      </c>
      <c r="R344" s="134" t="e">
        <f t="shared" ref="R344:R374" si="100">(INDEX(G$315:G$322,MATCH($M344,E$315:E$322,0))&gt;INDEX(F$315:F$322,MATCH($M344,E$315:E$322,0)))*10+ISNUMBER(MATCH($M344,E$315:E$322,0))*10</f>
        <v>#N/A</v>
      </c>
      <c r="S344" s="1" t="e">
        <f t="shared" ref="S344:S374" si="101">(INDEX(F$325:F$328,MATCH($M344,D$325:D$328,0))&gt;INDEX(G$325:G$328,MATCH($M344,D$325:D$328,0)))*10</f>
        <v>#N/A</v>
      </c>
      <c r="T344" s="1" t="e">
        <f t="shared" ref="T344:T374" si="102">(INDEX(G$325:G$328,MATCH($M344,E$325:E$328,0))&gt;INDEX(F$325:F$328,MATCH($M344,E$325:E$328,0)))*10</f>
        <v>#N/A</v>
      </c>
      <c r="U344" s="134" t="e">
        <f t="shared" ref="U344:U374" si="103">(INDEX(F$331:F$332,MATCH($M344,D$331:D$332,0))&gt;INDEX(G$331:G$332,MATCH($M344,D$331:D$332,0)))*20</f>
        <v>#N/A</v>
      </c>
      <c r="V344" s="134" t="e">
        <f t="shared" ref="V344:V374" si="104">(INDEX(G$331:G$332,MATCH($M344,E$331:E$332,0))&gt;INDEX(F$331:F$332,MATCH($M344,E$331:E$332,0)))*20</f>
        <v>#N/A</v>
      </c>
      <c r="W344" s="135" t="e">
        <f t="shared" ref="W344:W374" si="105">(INDEX(F$335:F$335,MATCH($M344,D$335:D$335,0))&gt;INDEX(G$335:G$335,MATCH($M344,D$335:D$335,0)))*10</f>
        <v>#N/A</v>
      </c>
      <c r="X344" s="135" t="e">
        <f t="shared" ref="X344:X374" si="106">(INDEX(G$335:G$335,MATCH($M344,E$335:E$335,0))&gt;INDEX(F$335:F$335,MATCH($M344,E$335:E$335,0)))*10</f>
        <v>#N/A</v>
      </c>
      <c r="Y344" s="134" t="e">
        <f t="shared" ref="Y344:Y374" si="107">(INDEX(F$338:F$338,MATCH($M344,D$338:D$338,0))&gt;INDEX(G$338:G$338,MATCH($M344,D$338:D$338,0)))*10</f>
        <v>#N/A</v>
      </c>
      <c r="Z344" s="134" t="e">
        <f t="shared" ref="Z344:Z374" si="108">(INDEX(G$338:G$338,MATCH($M344,E$338:E$338,0))&gt;INDEX(F$338:F$338,MATCH($M344,E$338:E$338,0)))*10</f>
        <v>#N/A</v>
      </c>
      <c r="AA344" s="1">
        <f t="array" ref="AA344">SUM(IF(ISNUMBER(O344:Z344),O344:Z344))+ROW()/10000000</f>
        <v>3.4400000000000003E-5</v>
      </c>
      <c r="AB344" s="138">
        <f t="shared" si="97"/>
        <v>3.43E-5</v>
      </c>
    </row>
    <row r="345" spans="2:54" s="96" customFormat="1" ht="24.75" customHeight="1">
      <c r="B345" s="142"/>
      <c r="D345" s="97"/>
      <c r="E345" s="143" t="s">
        <v>2</v>
      </c>
      <c r="F345" s="160"/>
      <c r="G345" s="163" t="s">
        <v>288</v>
      </c>
      <c r="H345" s="162"/>
      <c r="M345" s="97" t="str">
        <f>B7</f>
        <v>Mexico</v>
      </c>
      <c r="O345" s="96">
        <f t="shared" si="98"/>
        <v>0</v>
      </c>
      <c r="Q345" s="134" t="e">
        <f t="shared" si="99"/>
        <v>#N/A</v>
      </c>
      <c r="R345" s="134" t="e">
        <f t="shared" si="100"/>
        <v>#N/A</v>
      </c>
      <c r="S345" s="1" t="e">
        <f t="shared" si="101"/>
        <v>#N/A</v>
      </c>
      <c r="T345" s="1" t="e">
        <f t="shared" si="102"/>
        <v>#N/A</v>
      </c>
      <c r="U345" s="144" t="e">
        <f t="shared" si="103"/>
        <v>#N/A</v>
      </c>
      <c r="V345" s="144" t="e">
        <f t="shared" si="104"/>
        <v>#N/A</v>
      </c>
      <c r="W345" s="145" t="e">
        <f t="shared" si="105"/>
        <v>#N/A</v>
      </c>
      <c r="X345" s="145" t="e">
        <f t="shared" si="106"/>
        <v>#N/A</v>
      </c>
      <c r="Y345" s="134" t="e">
        <f t="shared" si="107"/>
        <v>#N/A</v>
      </c>
      <c r="Z345" s="134" t="e">
        <f t="shared" si="108"/>
        <v>#N/A</v>
      </c>
      <c r="AA345" s="146">
        <f t="array" ref="AA345">SUM(IF(ISNUMBER(O345:Z345),O345:Z345))+ROW()/100000000</f>
        <v>3.45E-6</v>
      </c>
      <c r="AB345" s="147">
        <f t="shared" si="97"/>
        <v>3.7400000000000002E-6</v>
      </c>
      <c r="AS345" s="175"/>
      <c r="AT345" s="1"/>
      <c r="AZ345" s="102"/>
      <c r="BA345" s="102"/>
      <c r="BB345" s="102"/>
    </row>
    <row r="346" spans="2:54" ht="15">
      <c r="C346" s="137" t="s">
        <v>163</v>
      </c>
      <c r="D346" s="3" t="str">
        <f t="shared" ref="D346:D377" si="109">INDEX(M$343:M$374,MATCH(LARGE(AA$343:AA$374,ROW(A1)),AA$343:AA$374,0))</f>
        <v>Kroatien</v>
      </c>
      <c r="E346" s="141">
        <f>ROUND(INDEX(AA$340:AA$399,MATCH(D346,M$340:M$399,0)),0)</f>
        <v>0</v>
      </c>
      <c r="G346" s="140" t="str">
        <f t="shared" ref="G346:G377" si="110">INDEX(AX:AX,MATCH(D346,AT:AT,0))&amp;":"&amp;-INDEX(AY:AY,MATCH(D346,AT:AT,0))</f>
        <v>0:0</v>
      </c>
      <c r="H346" s="3" t="str">
        <f>IF(COUNTIF(D$312:E$323,D346)=0,"","  "&amp;ROUND(SUMIF(D$312:D$340,D346,F$312:F$340)+SUMIF(E$312:E$340,D346,G$312:G$340),0)&amp;":"&amp;ROUND(SUMIF(D$312:D$340,D346,G$312:G$340)+SUMIF(E$312:E$340,D346,F$312:F$340),0))</f>
        <v/>
      </c>
      <c r="M346" s="3" t="str">
        <f>B8</f>
        <v>Kamerun</v>
      </c>
      <c r="O346" s="1">
        <f t="shared" si="98"/>
        <v>0</v>
      </c>
      <c r="Q346" s="134" t="e">
        <f t="shared" si="99"/>
        <v>#N/A</v>
      </c>
      <c r="R346" s="134" t="e">
        <f t="shared" si="100"/>
        <v>#N/A</v>
      </c>
      <c r="S346" s="1" t="e">
        <f t="shared" si="101"/>
        <v>#N/A</v>
      </c>
      <c r="T346" s="1" t="e">
        <f t="shared" si="102"/>
        <v>#N/A</v>
      </c>
      <c r="U346" s="134" t="e">
        <f t="shared" si="103"/>
        <v>#N/A</v>
      </c>
      <c r="V346" s="134" t="e">
        <f t="shared" si="104"/>
        <v>#N/A</v>
      </c>
      <c r="W346" s="135" t="e">
        <f t="shared" si="105"/>
        <v>#N/A</v>
      </c>
      <c r="X346" s="135" t="e">
        <f t="shared" si="106"/>
        <v>#N/A</v>
      </c>
      <c r="Y346" s="134" t="e">
        <f t="shared" si="107"/>
        <v>#N/A</v>
      </c>
      <c r="Z346" s="134" t="e">
        <f t="shared" si="108"/>
        <v>#N/A</v>
      </c>
      <c r="AA346" s="139">
        <f t="array" ref="AA346">SUM(IF(ISNUMBER(O346:Z346),O346:Z346))+ROW()/100000000</f>
        <v>3.4599999999999999E-6</v>
      </c>
      <c r="AB346" s="138">
        <f t="shared" si="97"/>
        <v>3.7299999999999999E-6</v>
      </c>
      <c r="AS346" s="174"/>
      <c r="AT346" s="150"/>
      <c r="AU346" s="152"/>
    </row>
    <row r="347" spans="2:54" ht="15">
      <c r="C347" s="137" t="str">
        <f t="shared" ref="C347:C377" si="111">IF(ROUND(AB344,3)=ROUND(AB343,3),"",ROW(A2)&amp;".")</f>
        <v/>
      </c>
      <c r="D347" s="3" t="str">
        <f t="shared" si="109"/>
        <v>Brasilien</v>
      </c>
      <c r="E347" s="141">
        <f t="shared" ref="E347:E377" si="112">ROUND(INDEX(AA$340:AA$399,MATCH(D347,M$340:M$399,0)),0)</f>
        <v>0</v>
      </c>
      <c r="G347" s="140" t="str">
        <f t="shared" si="110"/>
        <v>0:0</v>
      </c>
      <c r="H347" s="3" t="str">
        <f t="shared" ref="H347:H361" si="113">IF(COUNTIF(D$312:E$323,D347)=0,"","  "&amp;ROUND(SUMIF(D$312:D$340,D347,F$312:F$340)+SUMIF(E$312:E$340,D347,G$312:G$340),0)&amp;":"&amp;ROUND(SUMIF(D$312:D$340,D347,G$312:G$340)+SUMIF(E$312:E$340,D347,F$312:F$340),0))</f>
        <v/>
      </c>
      <c r="M347" s="3" t="str">
        <f>B44</f>
        <v>Spanien</v>
      </c>
      <c r="O347" s="1">
        <f t="shared" si="98"/>
        <v>0</v>
      </c>
      <c r="Q347" s="134" t="e">
        <f t="shared" si="99"/>
        <v>#N/A</v>
      </c>
      <c r="R347" s="134" t="e">
        <f t="shared" si="100"/>
        <v>#N/A</v>
      </c>
      <c r="S347" s="1" t="e">
        <f t="shared" si="101"/>
        <v>#N/A</v>
      </c>
      <c r="T347" s="1" t="e">
        <f t="shared" si="102"/>
        <v>#N/A</v>
      </c>
      <c r="U347" s="134" t="e">
        <f t="shared" si="103"/>
        <v>#N/A</v>
      </c>
      <c r="V347" s="134" t="e">
        <f t="shared" si="104"/>
        <v>#N/A</v>
      </c>
      <c r="W347" s="135" t="e">
        <f t="shared" si="105"/>
        <v>#N/A</v>
      </c>
      <c r="X347" s="135" t="e">
        <f t="shared" si="106"/>
        <v>#N/A</v>
      </c>
      <c r="Y347" s="134" t="e">
        <f t="shared" si="107"/>
        <v>#N/A</v>
      </c>
      <c r="Z347" s="134" t="e">
        <f t="shared" si="108"/>
        <v>#N/A</v>
      </c>
      <c r="AA347" s="139">
        <f t="array" ref="AA347">SUM(IF(ISNUMBER(O347:Z347),O347:Z347))+ROW()/100000000</f>
        <v>3.4699999999999998E-6</v>
      </c>
      <c r="AB347" s="138">
        <f t="shared" si="97"/>
        <v>3.72E-6</v>
      </c>
      <c r="AS347" s="174"/>
    </row>
    <row r="348" spans="2:54" ht="15">
      <c r="C348" s="137" t="str">
        <f t="shared" si="111"/>
        <v/>
      </c>
      <c r="D348" s="3" t="str">
        <f t="shared" si="109"/>
        <v>Südkorea</v>
      </c>
      <c r="E348" s="141">
        <f t="shared" si="112"/>
        <v>0</v>
      </c>
      <c r="G348" s="140" t="str">
        <f t="shared" si="110"/>
        <v>0:0</v>
      </c>
      <c r="H348" s="3" t="str">
        <f t="shared" si="113"/>
        <v/>
      </c>
      <c r="M348" s="3" t="str">
        <f>B45</f>
        <v>Holland</v>
      </c>
      <c r="O348" s="1">
        <f t="shared" si="98"/>
        <v>0</v>
      </c>
      <c r="Q348" s="134" t="e">
        <f t="shared" si="99"/>
        <v>#N/A</v>
      </c>
      <c r="R348" s="134" t="e">
        <f t="shared" si="100"/>
        <v>#N/A</v>
      </c>
      <c r="S348" s="1" t="e">
        <f t="shared" si="101"/>
        <v>#N/A</v>
      </c>
      <c r="T348" s="1" t="e">
        <f t="shared" si="102"/>
        <v>#N/A</v>
      </c>
      <c r="U348" s="134" t="e">
        <f t="shared" si="103"/>
        <v>#N/A</v>
      </c>
      <c r="V348" s="134" t="e">
        <f t="shared" si="104"/>
        <v>#N/A</v>
      </c>
      <c r="W348" s="135" t="e">
        <f t="shared" si="105"/>
        <v>#N/A</v>
      </c>
      <c r="X348" s="135" t="e">
        <f t="shared" si="106"/>
        <v>#N/A</v>
      </c>
      <c r="Y348" s="134" t="e">
        <f t="shared" si="107"/>
        <v>#N/A</v>
      </c>
      <c r="Z348" s="134" t="e">
        <f t="shared" si="108"/>
        <v>#N/A</v>
      </c>
      <c r="AA348" s="139">
        <f t="array" ref="AA348">SUM(IF(ISNUMBER(O348:Z348),O348:Z348))+ROW()/100000000</f>
        <v>3.4800000000000001E-6</v>
      </c>
      <c r="AB348" s="138">
        <f t="shared" si="97"/>
        <v>3.7100000000000001E-6</v>
      </c>
    </row>
    <row r="349" spans="2:54" ht="15">
      <c r="C349" s="137" t="str">
        <f t="shared" si="111"/>
        <v/>
      </c>
      <c r="D349" s="3" t="str">
        <f t="shared" si="109"/>
        <v>Russland</v>
      </c>
      <c r="E349" s="141">
        <f t="shared" si="112"/>
        <v>0</v>
      </c>
      <c r="G349" s="140" t="str">
        <f t="shared" si="110"/>
        <v>0:0</v>
      </c>
      <c r="H349" s="3" t="str">
        <f t="shared" si="113"/>
        <v/>
      </c>
      <c r="M349" s="3" t="str">
        <f>B46</f>
        <v>Chile</v>
      </c>
      <c r="O349" s="1">
        <f t="shared" si="98"/>
        <v>0</v>
      </c>
      <c r="Q349" s="134" t="e">
        <f t="shared" si="99"/>
        <v>#N/A</v>
      </c>
      <c r="R349" s="134" t="e">
        <f t="shared" si="100"/>
        <v>#N/A</v>
      </c>
      <c r="S349" s="1" t="e">
        <f t="shared" si="101"/>
        <v>#N/A</v>
      </c>
      <c r="T349" s="1" t="e">
        <f t="shared" si="102"/>
        <v>#N/A</v>
      </c>
      <c r="U349" s="134" t="e">
        <f t="shared" si="103"/>
        <v>#N/A</v>
      </c>
      <c r="V349" s="134" t="e">
        <f t="shared" si="104"/>
        <v>#N/A</v>
      </c>
      <c r="W349" s="135" t="e">
        <f t="shared" si="105"/>
        <v>#N/A</v>
      </c>
      <c r="X349" s="135" t="e">
        <f t="shared" si="106"/>
        <v>#N/A</v>
      </c>
      <c r="Y349" s="134" t="e">
        <f t="shared" si="107"/>
        <v>#N/A</v>
      </c>
      <c r="Z349" s="134" t="e">
        <f t="shared" si="108"/>
        <v>#N/A</v>
      </c>
      <c r="AA349" s="139">
        <f t="array" ref="AA349">SUM(IF(ISNUMBER(O349:Z349),O349:Z349))+ROW()/100000000</f>
        <v>3.49E-6</v>
      </c>
      <c r="AB349" s="138">
        <f t="shared" si="97"/>
        <v>3.7000000000000002E-6</v>
      </c>
      <c r="AS349" s="174"/>
    </row>
    <row r="350" spans="2:54" ht="15">
      <c r="C350" s="137" t="str">
        <f t="shared" si="111"/>
        <v/>
      </c>
      <c r="D350" s="3" t="str">
        <f t="shared" si="109"/>
        <v>Algerien</v>
      </c>
      <c r="E350" s="141">
        <f t="shared" si="112"/>
        <v>0</v>
      </c>
      <c r="G350" s="140" t="str">
        <f t="shared" si="110"/>
        <v>0:0</v>
      </c>
      <c r="H350" s="3" t="str">
        <f t="shared" si="113"/>
        <v/>
      </c>
      <c r="M350" s="3" t="str">
        <f>B47</f>
        <v>Australien</v>
      </c>
      <c r="O350" s="1">
        <f t="shared" si="98"/>
        <v>0</v>
      </c>
      <c r="Q350" s="134" t="e">
        <f t="shared" si="99"/>
        <v>#N/A</v>
      </c>
      <c r="R350" s="134" t="e">
        <f t="shared" si="100"/>
        <v>#N/A</v>
      </c>
      <c r="S350" s="1" t="e">
        <f t="shared" si="101"/>
        <v>#N/A</v>
      </c>
      <c r="T350" s="1" t="e">
        <f t="shared" si="102"/>
        <v>#N/A</v>
      </c>
      <c r="U350" s="134" t="e">
        <f t="shared" si="103"/>
        <v>#N/A</v>
      </c>
      <c r="V350" s="134" t="e">
        <f t="shared" si="104"/>
        <v>#N/A</v>
      </c>
      <c r="W350" s="135" t="e">
        <f t="shared" si="105"/>
        <v>#N/A</v>
      </c>
      <c r="X350" s="135" t="e">
        <f t="shared" si="106"/>
        <v>#N/A</v>
      </c>
      <c r="Y350" s="134" t="e">
        <f t="shared" si="107"/>
        <v>#N/A</v>
      </c>
      <c r="Z350" s="134" t="e">
        <f t="shared" si="108"/>
        <v>#N/A</v>
      </c>
      <c r="AA350" s="139">
        <f t="array" ref="AA350">SUM(IF(ISNUMBER(O350:Z350),O350:Z350))+ROW()/100000000</f>
        <v>3.4999999999999999E-6</v>
      </c>
      <c r="AB350" s="138">
        <f t="shared" si="97"/>
        <v>3.6899999999999998E-6</v>
      </c>
      <c r="AS350" s="174"/>
    </row>
    <row r="351" spans="2:54" ht="15">
      <c r="C351" s="137" t="str">
        <f t="shared" si="111"/>
        <v/>
      </c>
      <c r="D351" s="3" t="str">
        <f t="shared" si="109"/>
        <v>Belgien</v>
      </c>
      <c r="E351" s="141">
        <f t="shared" si="112"/>
        <v>0</v>
      </c>
      <c r="G351" s="140" t="str">
        <f t="shared" si="110"/>
        <v>0:0</v>
      </c>
      <c r="H351" s="3" t="str">
        <f t="shared" si="113"/>
        <v/>
      </c>
      <c r="M351" s="3" t="str">
        <f>B83</f>
        <v>Kolumbien</v>
      </c>
      <c r="O351" s="1">
        <f t="shared" si="98"/>
        <v>0</v>
      </c>
      <c r="Q351" s="134" t="e">
        <f t="shared" si="99"/>
        <v>#N/A</v>
      </c>
      <c r="R351" s="134" t="e">
        <f t="shared" si="100"/>
        <v>#N/A</v>
      </c>
      <c r="S351" s="1" t="e">
        <f t="shared" si="101"/>
        <v>#N/A</v>
      </c>
      <c r="T351" s="1" t="e">
        <f t="shared" si="102"/>
        <v>#N/A</v>
      </c>
      <c r="U351" s="134" t="e">
        <f t="shared" si="103"/>
        <v>#N/A</v>
      </c>
      <c r="V351" s="134" t="e">
        <f t="shared" si="104"/>
        <v>#N/A</v>
      </c>
      <c r="W351" s="135" t="e">
        <f t="shared" si="105"/>
        <v>#N/A</v>
      </c>
      <c r="X351" s="135" t="e">
        <f t="shared" si="106"/>
        <v>#N/A</v>
      </c>
      <c r="Y351" s="134" t="e">
        <f t="shared" si="107"/>
        <v>#N/A</v>
      </c>
      <c r="Z351" s="134" t="e">
        <f t="shared" si="108"/>
        <v>#N/A</v>
      </c>
      <c r="AA351" s="139">
        <f t="array" ref="AA351">SUM(IF(ISNUMBER(O351:Z351),O351:Z351))+ROW()/100000000</f>
        <v>3.5099999999999999E-6</v>
      </c>
      <c r="AB351" s="138">
        <f t="shared" si="97"/>
        <v>3.6799999999999999E-6</v>
      </c>
    </row>
    <row r="352" spans="2:54" ht="15">
      <c r="C352" s="137" t="str">
        <f t="shared" si="111"/>
        <v/>
      </c>
      <c r="D352" s="3" t="str">
        <f t="shared" si="109"/>
        <v>USA</v>
      </c>
      <c r="E352" s="141">
        <f t="shared" si="112"/>
        <v>0</v>
      </c>
      <c r="G352" s="140" t="str">
        <f t="shared" si="110"/>
        <v>0:0</v>
      </c>
      <c r="H352" s="3" t="str">
        <f t="shared" si="113"/>
        <v/>
      </c>
      <c r="M352" s="3" t="str">
        <f>B84</f>
        <v>Griechenland</v>
      </c>
      <c r="O352" s="1">
        <f t="shared" si="98"/>
        <v>0</v>
      </c>
      <c r="Q352" s="134" t="e">
        <f t="shared" si="99"/>
        <v>#N/A</v>
      </c>
      <c r="R352" s="134" t="e">
        <f t="shared" si="100"/>
        <v>#N/A</v>
      </c>
      <c r="S352" s="1" t="e">
        <f t="shared" si="101"/>
        <v>#N/A</v>
      </c>
      <c r="T352" s="1" t="e">
        <f t="shared" si="102"/>
        <v>#N/A</v>
      </c>
      <c r="U352" s="134" t="e">
        <f t="shared" si="103"/>
        <v>#N/A</v>
      </c>
      <c r="V352" s="134" t="e">
        <f t="shared" si="104"/>
        <v>#N/A</v>
      </c>
      <c r="W352" s="135" t="e">
        <f t="shared" si="105"/>
        <v>#N/A</v>
      </c>
      <c r="X352" s="135" t="e">
        <f t="shared" si="106"/>
        <v>#N/A</v>
      </c>
      <c r="Y352" s="134" t="e">
        <f t="shared" si="107"/>
        <v>#N/A</v>
      </c>
      <c r="Z352" s="134" t="e">
        <f t="shared" si="108"/>
        <v>#N/A</v>
      </c>
      <c r="AA352" s="139">
        <f t="array" ref="AA352">SUM(IF(ISNUMBER(O352:Z352),O352:Z352))+ROW()/100000000</f>
        <v>3.5200000000000002E-6</v>
      </c>
      <c r="AB352" s="138">
        <f t="shared" si="97"/>
        <v>3.67E-6</v>
      </c>
    </row>
    <row r="353" spans="3:28" ht="15">
      <c r="C353" s="137" t="str">
        <f t="shared" si="111"/>
        <v/>
      </c>
      <c r="D353" s="3" t="str">
        <f t="shared" si="109"/>
        <v>Ghana</v>
      </c>
      <c r="E353" s="141">
        <f t="shared" si="112"/>
        <v>0</v>
      </c>
      <c r="G353" s="140" t="str">
        <f t="shared" si="110"/>
        <v>0:0</v>
      </c>
      <c r="H353" s="3" t="str">
        <f t="shared" si="113"/>
        <v/>
      </c>
      <c r="M353" s="3" t="str">
        <f>B85</f>
        <v>Elfenbeinküste</v>
      </c>
      <c r="O353" s="1">
        <f t="shared" si="98"/>
        <v>0</v>
      </c>
      <c r="Q353" s="134" t="e">
        <f t="shared" si="99"/>
        <v>#N/A</v>
      </c>
      <c r="R353" s="134" t="e">
        <f t="shared" si="100"/>
        <v>#N/A</v>
      </c>
      <c r="S353" s="1" t="e">
        <f t="shared" si="101"/>
        <v>#N/A</v>
      </c>
      <c r="T353" s="1" t="e">
        <f t="shared" si="102"/>
        <v>#N/A</v>
      </c>
      <c r="U353" s="134" t="e">
        <f t="shared" si="103"/>
        <v>#N/A</v>
      </c>
      <c r="V353" s="134" t="e">
        <f t="shared" si="104"/>
        <v>#N/A</v>
      </c>
      <c r="W353" s="135" t="e">
        <f t="shared" si="105"/>
        <v>#N/A</v>
      </c>
      <c r="X353" s="135" t="e">
        <f t="shared" si="106"/>
        <v>#N/A</v>
      </c>
      <c r="Y353" s="134" t="e">
        <f t="shared" si="107"/>
        <v>#N/A</v>
      </c>
      <c r="Z353" s="134" t="e">
        <f t="shared" si="108"/>
        <v>#N/A</v>
      </c>
      <c r="AA353" s="139">
        <f t="array" ref="AA353">SUM(IF(ISNUMBER(O353:Z353),O353:Z353))+ROW()/100000000</f>
        <v>3.5300000000000001E-6</v>
      </c>
      <c r="AB353" s="138">
        <f t="shared" si="97"/>
        <v>3.6600000000000001E-6</v>
      </c>
    </row>
    <row r="354" spans="3:28" ht="15">
      <c r="C354" s="137" t="str">
        <f t="shared" si="111"/>
        <v/>
      </c>
      <c r="D354" s="3" t="str">
        <f t="shared" si="109"/>
        <v>Portugal</v>
      </c>
      <c r="E354" s="141">
        <f t="shared" si="112"/>
        <v>0</v>
      </c>
      <c r="G354" s="140" t="str">
        <f t="shared" si="110"/>
        <v>0:0</v>
      </c>
      <c r="H354" s="3" t="str">
        <f t="shared" si="113"/>
        <v/>
      </c>
      <c r="M354" s="3" t="str">
        <f>B86</f>
        <v>Japan</v>
      </c>
      <c r="O354" s="1">
        <f t="shared" si="98"/>
        <v>0</v>
      </c>
      <c r="Q354" s="134" t="e">
        <f t="shared" si="99"/>
        <v>#N/A</v>
      </c>
      <c r="R354" s="134" t="e">
        <f t="shared" si="100"/>
        <v>#N/A</v>
      </c>
      <c r="S354" s="1" t="e">
        <f t="shared" si="101"/>
        <v>#N/A</v>
      </c>
      <c r="T354" s="1" t="e">
        <f t="shared" si="102"/>
        <v>#N/A</v>
      </c>
      <c r="U354" s="134" t="e">
        <f t="shared" si="103"/>
        <v>#N/A</v>
      </c>
      <c r="V354" s="134" t="e">
        <f t="shared" si="104"/>
        <v>#N/A</v>
      </c>
      <c r="W354" s="135" t="e">
        <f t="shared" si="105"/>
        <v>#N/A</v>
      </c>
      <c r="X354" s="135" t="e">
        <f t="shared" si="106"/>
        <v>#N/A</v>
      </c>
      <c r="Y354" s="134" t="e">
        <f t="shared" si="107"/>
        <v>#N/A</v>
      </c>
      <c r="Z354" s="134" t="e">
        <f t="shared" si="108"/>
        <v>#N/A</v>
      </c>
      <c r="AA354" s="139">
        <f t="array" ref="AA354">SUM(IF(ISNUMBER(O354:Z354),O354:Z354))+ROW()/100000000</f>
        <v>3.54E-6</v>
      </c>
      <c r="AB354" s="138">
        <f t="shared" si="97"/>
        <v>3.6500000000000002E-6</v>
      </c>
    </row>
    <row r="355" spans="3:28" ht="15">
      <c r="C355" s="137" t="str">
        <f t="shared" si="111"/>
        <v/>
      </c>
      <c r="D355" s="3" t="str">
        <f t="shared" si="109"/>
        <v>Deutschland</v>
      </c>
      <c r="E355" s="141">
        <f t="shared" si="112"/>
        <v>0</v>
      </c>
      <c r="G355" s="140" t="str">
        <f t="shared" si="110"/>
        <v>0:0</v>
      </c>
      <c r="H355" s="3" t="str">
        <f t="shared" si="113"/>
        <v/>
      </c>
      <c r="M355" s="3" t="str">
        <f>B122</f>
        <v>Uruguay</v>
      </c>
      <c r="O355" s="1">
        <f t="shared" si="98"/>
        <v>0</v>
      </c>
      <c r="Q355" s="134" t="e">
        <f t="shared" si="99"/>
        <v>#N/A</v>
      </c>
      <c r="R355" s="134" t="e">
        <f t="shared" si="100"/>
        <v>#N/A</v>
      </c>
      <c r="S355" s="1" t="e">
        <f t="shared" si="101"/>
        <v>#N/A</v>
      </c>
      <c r="T355" s="1" t="e">
        <f t="shared" si="102"/>
        <v>#N/A</v>
      </c>
      <c r="U355" s="134" t="e">
        <f t="shared" si="103"/>
        <v>#N/A</v>
      </c>
      <c r="V355" s="134" t="e">
        <f t="shared" si="104"/>
        <v>#N/A</v>
      </c>
      <c r="W355" s="135" t="e">
        <f t="shared" si="105"/>
        <v>#N/A</v>
      </c>
      <c r="X355" s="135" t="e">
        <f t="shared" si="106"/>
        <v>#N/A</v>
      </c>
      <c r="Y355" s="134" t="e">
        <f t="shared" si="107"/>
        <v>#N/A</v>
      </c>
      <c r="Z355" s="134" t="e">
        <f t="shared" si="108"/>
        <v>#N/A</v>
      </c>
      <c r="AA355" s="139">
        <f t="array" ref="AA355">SUM(IF(ISNUMBER(O355:Z355),O355:Z355))+ROW()/100000000</f>
        <v>3.5499999999999999E-6</v>
      </c>
      <c r="AB355" s="138">
        <f t="shared" si="97"/>
        <v>3.6399999999999999E-6</v>
      </c>
    </row>
    <row r="356" spans="3:28" ht="15">
      <c r="C356" s="137" t="str">
        <f t="shared" si="111"/>
        <v/>
      </c>
      <c r="D356" s="3" t="str">
        <f t="shared" si="109"/>
        <v>Nigeria</v>
      </c>
      <c r="E356" s="141">
        <f t="shared" si="112"/>
        <v>0</v>
      </c>
      <c r="G356" s="140" t="str">
        <f t="shared" si="110"/>
        <v>0:0</v>
      </c>
      <c r="H356" s="3" t="str">
        <f t="shared" si="113"/>
        <v/>
      </c>
      <c r="M356" s="3" t="str">
        <f>B123</f>
        <v>Costa Rica</v>
      </c>
      <c r="O356" s="1">
        <f t="shared" si="98"/>
        <v>0</v>
      </c>
      <c r="Q356" s="134" t="e">
        <f t="shared" si="99"/>
        <v>#N/A</v>
      </c>
      <c r="R356" s="134" t="e">
        <f t="shared" si="100"/>
        <v>#N/A</v>
      </c>
      <c r="S356" s="1" t="e">
        <f t="shared" si="101"/>
        <v>#N/A</v>
      </c>
      <c r="T356" s="1" t="e">
        <f t="shared" si="102"/>
        <v>#N/A</v>
      </c>
      <c r="U356" s="134" t="e">
        <f t="shared" si="103"/>
        <v>#N/A</v>
      </c>
      <c r="V356" s="134" t="e">
        <f t="shared" si="104"/>
        <v>#N/A</v>
      </c>
      <c r="W356" s="135" t="e">
        <f t="shared" si="105"/>
        <v>#N/A</v>
      </c>
      <c r="X356" s="135" t="e">
        <f t="shared" si="106"/>
        <v>#N/A</v>
      </c>
      <c r="Y356" s="134" t="e">
        <f t="shared" si="107"/>
        <v>#N/A</v>
      </c>
      <c r="Z356" s="134" t="e">
        <f t="shared" si="108"/>
        <v>#N/A</v>
      </c>
      <c r="AA356" s="139">
        <f t="array" ref="AA356">SUM(IF(ISNUMBER(O356:Z356),O356:Z356))+ROW()/100000000</f>
        <v>3.5599999999999998E-6</v>
      </c>
      <c r="AB356" s="138">
        <f t="shared" si="97"/>
        <v>3.63E-6</v>
      </c>
    </row>
    <row r="357" spans="3:28" ht="15">
      <c r="C357" s="137" t="str">
        <f t="shared" si="111"/>
        <v/>
      </c>
      <c r="D357" s="3" t="str">
        <f t="shared" si="109"/>
        <v>Iran</v>
      </c>
      <c r="E357" s="141">
        <f t="shared" si="112"/>
        <v>0</v>
      </c>
      <c r="G357" s="140" t="str">
        <f t="shared" si="110"/>
        <v>0:0</v>
      </c>
      <c r="H357" s="3" t="str">
        <f t="shared" si="113"/>
        <v/>
      </c>
      <c r="M357" s="3" t="str">
        <f>B124</f>
        <v>England</v>
      </c>
      <c r="O357" s="1">
        <f t="shared" si="98"/>
        <v>0</v>
      </c>
      <c r="Q357" s="134" t="e">
        <f t="shared" si="99"/>
        <v>#N/A</v>
      </c>
      <c r="R357" s="134" t="e">
        <f t="shared" si="100"/>
        <v>#N/A</v>
      </c>
      <c r="S357" s="1" t="e">
        <f t="shared" si="101"/>
        <v>#N/A</v>
      </c>
      <c r="T357" s="1" t="e">
        <f t="shared" si="102"/>
        <v>#N/A</v>
      </c>
      <c r="U357" s="134" t="e">
        <f t="shared" si="103"/>
        <v>#N/A</v>
      </c>
      <c r="V357" s="134" t="e">
        <f t="shared" si="104"/>
        <v>#N/A</v>
      </c>
      <c r="W357" s="135" t="e">
        <f t="shared" si="105"/>
        <v>#N/A</v>
      </c>
      <c r="X357" s="135" t="e">
        <f t="shared" si="106"/>
        <v>#N/A</v>
      </c>
      <c r="Y357" s="134" t="e">
        <f t="shared" si="107"/>
        <v>#N/A</v>
      </c>
      <c r="Z357" s="134" t="e">
        <f t="shared" si="108"/>
        <v>#N/A</v>
      </c>
      <c r="AA357" s="139">
        <f t="array" ref="AA357">SUM(IF(ISNUMBER(O357:Z357),O357:Z357))+ROW()/100000000</f>
        <v>3.5700000000000001E-6</v>
      </c>
      <c r="AB357" s="138">
        <f t="shared" si="97"/>
        <v>3.6200000000000001E-6</v>
      </c>
    </row>
    <row r="358" spans="3:28" ht="15">
      <c r="C358" s="137" t="str">
        <f t="shared" si="111"/>
        <v/>
      </c>
      <c r="D358" s="3" t="str">
        <f t="shared" si="109"/>
        <v>Bosnien-H.</v>
      </c>
      <c r="E358" s="141">
        <f t="shared" si="112"/>
        <v>0</v>
      </c>
      <c r="G358" s="140" t="str">
        <f t="shared" si="110"/>
        <v>0:0</v>
      </c>
      <c r="H358" s="3" t="str">
        <f t="shared" si="113"/>
        <v/>
      </c>
      <c r="M358" s="3" t="str">
        <f>B125</f>
        <v>Italien</v>
      </c>
      <c r="O358" s="1">
        <f t="shared" si="98"/>
        <v>0</v>
      </c>
      <c r="Q358" s="134" t="e">
        <f t="shared" si="99"/>
        <v>#N/A</v>
      </c>
      <c r="R358" s="134" t="e">
        <f t="shared" si="100"/>
        <v>#N/A</v>
      </c>
      <c r="S358" s="1" t="e">
        <f t="shared" si="101"/>
        <v>#N/A</v>
      </c>
      <c r="T358" s="1" t="e">
        <f t="shared" si="102"/>
        <v>#N/A</v>
      </c>
      <c r="U358" s="134" t="e">
        <f t="shared" si="103"/>
        <v>#N/A</v>
      </c>
      <c r="V358" s="134" t="e">
        <f t="shared" si="104"/>
        <v>#N/A</v>
      </c>
      <c r="W358" s="135" t="e">
        <f t="shared" si="105"/>
        <v>#N/A</v>
      </c>
      <c r="X358" s="135" t="e">
        <f t="shared" si="106"/>
        <v>#N/A</v>
      </c>
      <c r="Y358" s="134" t="e">
        <f t="shared" si="107"/>
        <v>#N/A</v>
      </c>
      <c r="Z358" s="134" t="e">
        <f t="shared" si="108"/>
        <v>#N/A</v>
      </c>
      <c r="AA358" s="139">
        <f t="array" ref="AA358">SUM(IF(ISNUMBER(O358:Z358),O358:Z358))+ROW()/100000000</f>
        <v>3.58E-6</v>
      </c>
      <c r="AB358" s="138">
        <f t="shared" si="97"/>
        <v>3.6100000000000002E-6</v>
      </c>
    </row>
    <row r="359" spans="3:28" ht="15">
      <c r="C359" s="137" t="str">
        <f t="shared" si="111"/>
        <v/>
      </c>
      <c r="D359" s="3" t="str">
        <f t="shared" si="109"/>
        <v>Argentinien</v>
      </c>
      <c r="E359" s="141">
        <f t="shared" si="112"/>
        <v>0</v>
      </c>
      <c r="G359" s="140" t="str">
        <f t="shared" si="110"/>
        <v>0:0</v>
      </c>
      <c r="H359" s="3" t="str">
        <f t="shared" si="113"/>
        <v/>
      </c>
      <c r="M359" s="3" t="str">
        <f>B160</f>
        <v>Schweiz</v>
      </c>
      <c r="O359" s="1">
        <f t="shared" si="98"/>
        <v>0</v>
      </c>
      <c r="Q359" s="134" t="e">
        <f t="shared" si="99"/>
        <v>#N/A</v>
      </c>
      <c r="R359" s="134" t="e">
        <f t="shared" si="100"/>
        <v>#N/A</v>
      </c>
      <c r="S359" s="1" t="e">
        <f t="shared" si="101"/>
        <v>#N/A</v>
      </c>
      <c r="T359" s="1" t="e">
        <f t="shared" si="102"/>
        <v>#N/A</v>
      </c>
      <c r="U359" s="134" t="e">
        <f t="shared" si="103"/>
        <v>#N/A</v>
      </c>
      <c r="V359" s="134" t="e">
        <f t="shared" si="104"/>
        <v>#N/A</v>
      </c>
      <c r="W359" s="135" t="e">
        <f t="shared" si="105"/>
        <v>#N/A</v>
      </c>
      <c r="X359" s="135" t="e">
        <f t="shared" si="106"/>
        <v>#N/A</v>
      </c>
      <c r="Y359" s="134" t="e">
        <f t="shared" si="107"/>
        <v>#N/A</v>
      </c>
      <c r="Z359" s="134" t="e">
        <f t="shared" si="108"/>
        <v>#N/A</v>
      </c>
      <c r="AA359" s="139">
        <f t="array" ref="AA359">SUM(IF(ISNUMBER(O359:Z359),O359:Z359))+ROW()/100000000</f>
        <v>3.5899999999999999E-6</v>
      </c>
      <c r="AB359" s="138">
        <f t="shared" si="97"/>
        <v>3.5999999999999998E-6</v>
      </c>
    </row>
    <row r="360" spans="3:28" ht="15">
      <c r="C360" s="137" t="str">
        <f t="shared" si="111"/>
        <v/>
      </c>
      <c r="D360" s="3" t="str">
        <f t="shared" si="109"/>
        <v>Honduras</v>
      </c>
      <c r="E360" s="141">
        <f t="shared" si="112"/>
        <v>0</v>
      </c>
      <c r="G360" s="140" t="str">
        <f t="shared" si="110"/>
        <v>0:0</v>
      </c>
      <c r="H360" s="3" t="str">
        <f t="shared" si="113"/>
        <v/>
      </c>
      <c r="M360" s="3" t="str">
        <f>B161</f>
        <v>Ecuador</v>
      </c>
      <c r="O360" s="1">
        <f t="shared" si="98"/>
        <v>0</v>
      </c>
      <c r="Q360" s="134" t="e">
        <f t="shared" si="99"/>
        <v>#N/A</v>
      </c>
      <c r="R360" s="134" t="e">
        <f t="shared" si="100"/>
        <v>#N/A</v>
      </c>
      <c r="S360" s="1" t="e">
        <f t="shared" si="101"/>
        <v>#N/A</v>
      </c>
      <c r="T360" s="1" t="e">
        <f t="shared" si="102"/>
        <v>#N/A</v>
      </c>
      <c r="U360" s="134" t="e">
        <f t="shared" si="103"/>
        <v>#N/A</v>
      </c>
      <c r="V360" s="134" t="e">
        <f t="shared" si="104"/>
        <v>#N/A</v>
      </c>
      <c r="W360" s="135" t="e">
        <f t="shared" si="105"/>
        <v>#N/A</v>
      </c>
      <c r="X360" s="135" t="e">
        <f t="shared" si="106"/>
        <v>#N/A</v>
      </c>
      <c r="Y360" s="134" t="e">
        <f t="shared" si="107"/>
        <v>#N/A</v>
      </c>
      <c r="Z360" s="134" t="e">
        <f t="shared" si="108"/>
        <v>#N/A</v>
      </c>
      <c r="AA360" s="139">
        <f t="array" ref="AA360">SUM(IF(ISNUMBER(O360:Z360),O360:Z360))+ROW()/100000000</f>
        <v>3.5999999999999998E-6</v>
      </c>
      <c r="AB360" s="138">
        <f t="shared" si="97"/>
        <v>3.5899999999999999E-6</v>
      </c>
    </row>
    <row r="361" spans="3:28" ht="15">
      <c r="C361" s="137" t="str">
        <f t="shared" si="111"/>
        <v/>
      </c>
      <c r="D361" s="3" t="str">
        <f t="shared" si="109"/>
        <v>Frankreich</v>
      </c>
      <c r="E361" s="141">
        <f t="shared" si="112"/>
        <v>0</v>
      </c>
      <c r="G361" s="140" t="str">
        <f t="shared" si="110"/>
        <v>0:0</v>
      </c>
      <c r="H361" s="3" t="str">
        <f t="shared" si="113"/>
        <v/>
      </c>
      <c r="M361" s="3" t="str">
        <f>B162</f>
        <v>Frankreich</v>
      </c>
      <c r="O361" s="1">
        <f t="shared" si="98"/>
        <v>0</v>
      </c>
      <c r="Q361" s="134" t="e">
        <f t="shared" si="99"/>
        <v>#N/A</v>
      </c>
      <c r="R361" s="134" t="e">
        <f t="shared" si="100"/>
        <v>#N/A</v>
      </c>
      <c r="S361" s="1" t="e">
        <f t="shared" si="101"/>
        <v>#N/A</v>
      </c>
      <c r="T361" s="1" t="e">
        <f t="shared" si="102"/>
        <v>#N/A</v>
      </c>
      <c r="U361" s="134" t="e">
        <f t="shared" si="103"/>
        <v>#N/A</v>
      </c>
      <c r="V361" s="134" t="e">
        <f t="shared" si="104"/>
        <v>#N/A</v>
      </c>
      <c r="W361" s="135" t="e">
        <f t="shared" si="105"/>
        <v>#N/A</v>
      </c>
      <c r="X361" s="135" t="e">
        <f t="shared" si="106"/>
        <v>#N/A</v>
      </c>
      <c r="Y361" s="134" t="e">
        <f t="shared" si="107"/>
        <v>#N/A</v>
      </c>
      <c r="Z361" s="134" t="e">
        <f t="shared" si="108"/>
        <v>#N/A</v>
      </c>
      <c r="AA361" s="139">
        <f t="array" ref="AA361">SUM(IF(ISNUMBER(O361:Z361),O361:Z361))+ROW()/100000000</f>
        <v>3.6100000000000002E-6</v>
      </c>
      <c r="AB361" s="138">
        <f t="shared" si="97"/>
        <v>3.58E-6</v>
      </c>
    </row>
    <row r="362" spans="3:28" ht="15">
      <c r="C362" s="137" t="str">
        <f t="shared" si="111"/>
        <v/>
      </c>
      <c r="D362" s="3" t="str">
        <f t="shared" si="109"/>
        <v>Ecuador</v>
      </c>
      <c r="E362" s="141">
        <f t="shared" si="112"/>
        <v>0</v>
      </c>
      <c r="G362" s="140" t="str">
        <f t="shared" si="110"/>
        <v>0:0</v>
      </c>
      <c r="H362" s="3" t="str">
        <f t="shared" ref="H362:H377" si="114">IF(COUNTIF(D$312:E$323,D362)=0,"","  "&amp;SUMIF(D$312:D$340,D362,F$312:F$340)+SUMIF(E$312:E$340,D362,G$312:G$340)&amp;":"&amp;SUMIF(D$312:D$340,D362,G$312:G$340)+SUMIF(E$312:E$340,D362,F$312:F$340))</f>
        <v/>
      </c>
      <c r="M362" s="3" t="str">
        <f>B163</f>
        <v>Honduras</v>
      </c>
      <c r="O362" s="1">
        <f t="shared" si="98"/>
        <v>0</v>
      </c>
      <c r="Q362" s="134" t="e">
        <f t="shared" si="99"/>
        <v>#N/A</v>
      </c>
      <c r="R362" s="134" t="e">
        <f t="shared" si="100"/>
        <v>#N/A</v>
      </c>
      <c r="S362" s="1" t="e">
        <f t="shared" si="101"/>
        <v>#N/A</v>
      </c>
      <c r="T362" s="1" t="e">
        <f t="shared" si="102"/>
        <v>#N/A</v>
      </c>
      <c r="U362" s="134" t="e">
        <f t="shared" si="103"/>
        <v>#N/A</v>
      </c>
      <c r="V362" s="134" t="e">
        <f t="shared" si="104"/>
        <v>#N/A</v>
      </c>
      <c r="W362" s="135" t="e">
        <f t="shared" si="105"/>
        <v>#N/A</v>
      </c>
      <c r="X362" s="135" t="e">
        <f t="shared" si="106"/>
        <v>#N/A</v>
      </c>
      <c r="Y362" s="134" t="e">
        <f t="shared" si="107"/>
        <v>#N/A</v>
      </c>
      <c r="Z362" s="134" t="e">
        <f t="shared" si="108"/>
        <v>#N/A</v>
      </c>
      <c r="AA362" s="139">
        <f t="array" ref="AA362">SUM(IF(ISNUMBER(O362:Z362),O362:Z362))+ROW()/100000000</f>
        <v>3.6200000000000001E-6</v>
      </c>
      <c r="AB362" s="138">
        <f t="shared" si="97"/>
        <v>3.5700000000000001E-6</v>
      </c>
    </row>
    <row r="363" spans="3:28" ht="15">
      <c r="C363" s="137" t="str">
        <f t="shared" si="111"/>
        <v/>
      </c>
      <c r="D363" s="3" t="str">
        <f t="shared" si="109"/>
        <v>Schweiz</v>
      </c>
      <c r="E363" s="141">
        <f t="shared" si="112"/>
        <v>0</v>
      </c>
      <c r="G363" s="140" t="str">
        <f t="shared" si="110"/>
        <v>0:0</v>
      </c>
      <c r="H363" s="3" t="str">
        <f t="shared" si="114"/>
        <v/>
      </c>
      <c r="M363" s="3" t="str">
        <f>B199</f>
        <v>Argentinien</v>
      </c>
      <c r="O363" s="1">
        <f t="shared" si="98"/>
        <v>0</v>
      </c>
      <c r="Q363" s="134" t="e">
        <f t="shared" si="99"/>
        <v>#N/A</v>
      </c>
      <c r="R363" s="134" t="e">
        <f t="shared" si="100"/>
        <v>#N/A</v>
      </c>
      <c r="S363" s="1" t="e">
        <f t="shared" si="101"/>
        <v>#N/A</v>
      </c>
      <c r="T363" s="1" t="e">
        <f t="shared" si="102"/>
        <v>#N/A</v>
      </c>
      <c r="U363" s="134" t="e">
        <f t="shared" si="103"/>
        <v>#N/A</v>
      </c>
      <c r="V363" s="134" t="e">
        <f t="shared" si="104"/>
        <v>#N/A</v>
      </c>
      <c r="W363" s="135" t="e">
        <f t="shared" si="105"/>
        <v>#N/A</v>
      </c>
      <c r="X363" s="135" t="e">
        <f t="shared" si="106"/>
        <v>#N/A</v>
      </c>
      <c r="Y363" s="134" t="e">
        <f t="shared" si="107"/>
        <v>#N/A</v>
      </c>
      <c r="Z363" s="134" t="e">
        <f t="shared" si="108"/>
        <v>#N/A</v>
      </c>
      <c r="AA363" s="139">
        <f t="array" ref="AA363">SUM(IF(ISNUMBER(O363:Z363),O363:Z363))+ROW()/100000000</f>
        <v>3.63E-6</v>
      </c>
      <c r="AB363" s="138">
        <f t="shared" si="97"/>
        <v>3.5599999999999998E-6</v>
      </c>
    </row>
    <row r="364" spans="3:28" ht="15">
      <c r="C364" s="137" t="str">
        <f t="shared" si="111"/>
        <v/>
      </c>
      <c r="D364" s="3" t="str">
        <f t="shared" si="109"/>
        <v>Italien</v>
      </c>
      <c r="E364" s="141">
        <f t="shared" si="112"/>
        <v>0</v>
      </c>
      <c r="G364" s="140" t="str">
        <f t="shared" si="110"/>
        <v>0:0</v>
      </c>
      <c r="H364" s="3" t="str">
        <f t="shared" si="114"/>
        <v/>
      </c>
      <c r="M364" s="3" t="str">
        <f>B200</f>
        <v>Bosnien-H.</v>
      </c>
      <c r="O364" s="1">
        <f t="shared" si="98"/>
        <v>0</v>
      </c>
      <c r="Q364" s="134" t="e">
        <f t="shared" si="99"/>
        <v>#N/A</v>
      </c>
      <c r="R364" s="134" t="e">
        <f t="shared" si="100"/>
        <v>#N/A</v>
      </c>
      <c r="S364" s="1" t="e">
        <f t="shared" si="101"/>
        <v>#N/A</v>
      </c>
      <c r="T364" s="1" t="e">
        <f t="shared" si="102"/>
        <v>#N/A</v>
      </c>
      <c r="U364" s="134" t="e">
        <f t="shared" si="103"/>
        <v>#N/A</v>
      </c>
      <c r="V364" s="134" t="e">
        <f t="shared" si="104"/>
        <v>#N/A</v>
      </c>
      <c r="W364" s="135" t="e">
        <f t="shared" si="105"/>
        <v>#N/A</v>
      </c>
      <c r="X364" s="135" t="e">
        <f t="shared" si="106"/>
        <v>#N/A</v>
      </c>
      <c r="Y364" s="134" t="e">
        <f t="shared" si="107"/>
        <v>#N/A</v>
      </c>
      <c r="Z364" s="134" t="e">
        <f t="shared" si="108"/>
        <v>#N/A</v>
      </c>
      <c r="AA364" s="139">
        <f t="array" ref="AA364">SUM(IF(ISNUMBER(O364:Z364),O364:Z364))+ROW()/100000000</f>
        <v>3.6399999999999999E-6</v>
      </c>
      <c r="AB364" s="138">
        <f t="shared" si="97"/>
        <v>3.5499999999999999E-6</v>
      </c>
    </row>
    <row r="365" spans="3:28" ht="15">
      <c r="C365" s="137" t="str">
        <f t="shared" si="111"/>
        <v/>
      </c>
      <c r="D365" s="3" t="str">
        <f t="shared" si="109"/>
        <v>England</v>
      </c>
      <c r="E365" s="141">
        <f t="shared" si="112"/>
        <v>0</v>
      </c>
      <c r="G365" s="140" t="str">
        <f t="shared" si="110"/>
        <v>0:0</v>
      </c>
      <c r="H365" s="3" t="str">
        <f t="shared" si="114"/>
        <v/>
      </c>
      <c r="M365" s="3" t="str">
        <f>B201</f>
        <v>Iran</v>
      </c>
      <c r="O365" s="1">
        <f t="shared" si="98"/>
        <v>0</v>
      </c>
      <c r="Q365" s="134" t="e">
        <f t="shared" si="99"/>
        <v>#N/A</v>
      </c>
      <c r="R365" s="134" t="e">
        <f t="shared" si="100"/>
        <v>#N/A</v>
      </c>
      <c r="S365" s="1" t="e">
        <f t="shared" si="101"/>
        <v>#N/A</v>
      </c>
      <c r="T365" s="1" t="e">
        <f t="shared" si="102"/>
        <v>#N/A</v>
      </c>
      <c r="U365" s="134" t="e">
        <f t="shared" si="103"/>
        <v>#N/A</v>
      </c>
      <c r="V365" s="134" t="e">
        <f t="shared" si="104"/>
        <v>#N/A</v>
      </c>
      <c r="W365" s="135" t="e">
        <f t="shared" si="105"/>
        <v>#N/A</v>
      </c>
      <c r="X365" s="135" t="e">
        <f t="shared" si="106"/>
        <v>#N/A</v>
      </c>
      <c r="Y365" s="134" t="e">
        <f t="shared" si="107"/>
        <v>#N/A</v>
      </c>
      <c r="Z365" s="134" t="e">
        <f t="shared" si="108"/>
        <v>#N/A</v>
      </c>
      <c r="AA365" s="139">
        <f t="array" ref="AA365">SUM(IF(ISNUMBER(O365:Z365),O365:Z365))+ROW()/100000000</f>
        <v>3.6500000000000002E-6</v>
      </c>
      <c r="AB365" s="138">
        <f t="shared" si="97"/>
        <v>3.54E-6</v>
      </c>
    </row>
    <row r="366" spans="3:28" ht="15">
      <c r="C366" s="137" t="str">
        <f t="shared" si="111"/>
        <v/>
      </c>
      <c r="D366" s="3" t="str">
        <f t="shared" si="109"/>
        <v>Costa Rica</v>
      </c>
      <c r="E366" s="141">
        <f t="shared" si="112"/>
        <v>0</v>
      </c>
      <c r="G366" s="140" t="str">
        <f t="shared" si="110"/>
        <v>0:0</v>
      </c>
      <c r="H366" s="3" t="str">
        <f t="shared" si="114"/>
        <v/>
      </c>
      <c r="M366" s="3" t="str">
        <f>B202</f>
        <v>Nigeria</v>
      </c>
      <c r="O366" s="1">
        <f t="shared" si="98"/>
        <v>0</v>
      </c>
      <c r="Q366" s="134" t="e">
        <f t="shared" si="99"/>
        <v>#N/A</v>
      </c>
      <c r="R366" s="134" t="e">
        <f t="shared" si="100"/>
        <v>#N/A</v>
      </c>
      <c r="S366" s="1" t="e">
        <f t="shared" si="101"/>
        <v>#N/A</v>
      </c>
      <c r="T366" s="1" t="e">
        <f t="shared" si="102"/>
        <v>#N/A</v>
      </c>
      <c r="U366" s="134" t="e">
        <f t="shared" si="103"/>
        <v>#N/A</v>
      </c>
      <c r="V366" s="134" t="e">
        <f t="shared" si="104"/>
        <v>#N/A</v>
      </c>
      <c r="W366" s="135" t="e">
        <f t="shared" si="105"/>
        <v>#N/A</v>
      </c>
      <c r="X366" s="135" t="e">
        <f t="shared" si="106"/>
        <v>#N/A</v>
      </c>
      <c r="Y366" s="134" t="e">
        <f t="shared" si="107"/>
        <v>#N/A</v>
      </c>
      <c r="Z366" s="134" t="e">
        <f t="shared" si="108"/>
        <v>#N/A</v>
      </c>
      <c r="AA366" s="139">
        <f t="array" ref="AA366">SUM(IF(ISNUMBER(O366:Z366),O366:Z366))+ROW()/100000000</f>
        <v>3.6600000000000001E-6</v>
      </c>
      <c r="AB366" s="138">
        <f t="shared" si="97"/>
        <v>3.5300000000000001E-6</v>
      </c>
    </row>
    <row r="367" spans="3:28" ht="15">
      <c r="C367" s="137" t="str">
        <f t="shared" si="111"/>
        <v/>
      </c>
      <c r="D367" s="3" t="str">
        <f t="shared" si="109"/>
        <v>Uruguay</v>
      </c>
      <c r="E367" s="141">
        <f t="shared" si="112"/>
        <v>0</v>
      </c>
      <c r="G367" s="140" t="str">
        <f t="shared" si="110"/>
        <v>0:0</v>
      </c>
      <c r="H367" s="3" t="str">
        <f t="shared" si="114"/>
        <v/>
      </c>
      <c r="M367" s="3" t="str">
        <f>B238</f>
        <v>Deutschland</v>
      </c>
      <c r="O367" s="1">
        <f t="shared" si="98"/>
        <v>0</v>
      </c>
      <c r="Q367" s="134" t="e">
        <f t="shared" si="99"/>
        <v>#N/A</v>
      </c>
      <c r="R367" s="134" t="e">
        <f t="shared" si="100"/>
        <v>#N/A</v>
      </c>
      <c r="S367" s="1" t="e">
        <f t="shared" si="101"/>
        <v>#N/A</v>
      </c>
      <c r="T367" s="1" t="e">
        <f t="shared" si="102"/>
        <v>#N/A</v>
      </c>
      <c r="U367" s="134" t="e">
        <f t="shared" si="103"/>
        <v>#N/A</v>
      </c>
      <c r="V367" s="134" t="e">
        <f t="shared" si="104"/>
        <v>#N/A</v>
      </c>
      <c r="W367" s="135" t="e">
        <f t="shared" si="105"/>
        <v>#N/A</v>
      </c>
      <c r="X367" s="135" t="e">
        <f t="shared" si="106"/>
        <v>#N/A</v>
      </c>
      <c r="Y367" s="134" t="e">
        <f t="shared" si="107"/>
        <v>#N/A</v>
      </c>
      <c r="Z367" s="134" t="e">
        <f t="shared" si="108"/>
        <v>#N/A</v>
      </c>
      <c r="AA367" s="139">
        <f t="array" ref="AA367">SUM(IF(ISNUMBER(O367:Z367),O367:Z367))+ROW()/100000000</f>
        <v>3.67E-6</v>
      </c>
      <c r="AB367" s="138">
        <f t="shared" si="97"/>
        <v>3.5200000000000002E-6</v>
      </c>
    </row>
    <row r="368" spans="3:28" ht="15">
      <c r="C368" s="137" t="str">
        <f t="shared" si="111"/>
        <v/>
      </c>
      <c r="D368" s="3" t="str">
        <f t="shared" si="109"/>
        <v>Japan</v>
      </c>
      <c r="E368" s="141">
        <f t="shared" si="112"/>
        <v>0</v>
      </c>
      <c r="G368" s="140" t="str">
        <f t="shared" si="110"/>
        <v>0:0</v>
      </c>
      <c r="H368" s="3" t="str">
        <f t="shared" si="114"/>
        <v/>
      </c>
      <c r="M368" s="3" t="str">
        <f>B239</f>
        <v>Portugal</v>
      </c>
      <c r="O368" s="1">
        <f t="shared" si="98"/>
        <v>0</v>
      </c>
      <c r="Q368" s="134" t="e">
        <f t="shared" si="99"/>
        <v>#N/A</v>
      </c>
      <c r="R368" s="134" t="e">
        <f t="shared" si="100"/>
        <v>#N/A</v>
      </c>
      <c r="S368" s="1" t="e">
        <f t="shared" si="101"/>
        <v>#N/A</v>
      </c>
      <c r="T368" s="1" t="e">
        <f t="shared" si="102"/>
        <v>#N/A</v>
      </c>
      <c r="U368" s="134" t="e">
        <f t="shared" si="103"/>
        <v>#N/A</v>
      </c>
      <c r="V368" s="134" t="e">
        <f t="shared" si="104"/>
        <v>#N/A</v>
      </c>
      <c r="W368" s="135" t="e">
        <f t="shared" si="105"/>
        <v>#N/A</v>
      </c>
      <c r="X368" s="135" t="e">
        <f t="shared" si="106"/>
        <v>#N/A</v>
      </c>
      <c r="Y368" s="134" t="e">
        <f t="shared" si="107"/>
        <v>#N/A</v>
      </c>
      <c r="Z368" s="134" t="e">
        <f t="shared" si="108"/>
        <v>#N/A</v>
      </c>
      <c r="AA368" s="139">
        <f t="array" ref="AA368">SUM(IF(ISNUMBER(O368:Z368),O368:Z368))+ROW()/100000000</f>
        <v>3.6799999999999999E-6</v>
      </c>
      <c r="AB368" s="138">
        <f t="shared" si="97"/>
        <v>3.5099999999999999E-6</v>
      </c>
    </row>
    <row r="369" spans="2:28" ht="15">
      <c r="C369" s="137" t="str">
        <f t="shared" si="111"/>
        <v/>
      </c>
      <c r="D369" s="3" t="str">
        <f t="shared" si="109"/>
        <v>Elfenbeinküste</v>
      </c>
      <c r="E369" s="141">
        <f t="shared" si="112"/>
        <v>0</v>
      </c>
      <c r="G369" s="140" t="str">
        <f t="shared" si="110"/>
        <v>0:0</v>
      </c>
      <c r="H369" s="3" t="str">
        <f t="shared" si="114"/>
        <v/>
      </c>
      <c r="M369" s="3" t="str">
        <f>B240</f>
        <v>Ghana</v>
      </c>
      <c r="O369" s="1">
        <f t="shared" si="98"/>
        <v>0</v>
      </c>
      <c r="Q369" s="134" t="e">
        <f t="shared" si="99"/>
        <v>#N/A</v>
      </c>
      <c r="R369" s="134" t="e">
        <f t="shared" si="100"/>
        <v>#N/A</v>
      </c>
      <c r="S369" s="1" t="e">
        <f t="shared" si="101"/>
        <v>#N/A</v>
      </c>
      <c r="T369" s="1" t="e">
        <f t="shared" si="102"/>
        <v>#N/A</v>
      </c>
      <c r="U369" s="134" t="e">
        <f t="shared" si="103"/>
        <v>#N/A</v>
      </c>
      <c r="V369" s="134" t="e">
        <f t="shared" si="104"/>
        <v>#N/A</v>
      </c>
      <c r="W369" s="135" t="e">
        <f t="shared" si="105"/>
        <v>#N/A</v>
      </c>
      <c r="X369" s="135" t="e">
        <f t="shared" si="106"/>
        <v>#N/A</v>
      </c>
      <c r="Y369" s="134" t="e">
        <f t="shared" si="107"/>
        <v>#N/A</v>
      </c>
      <c r="Z369" s="134" t="e">
        <f t="shared" si="108"/>
        <v>#N/A</v>
      </c>
      <c r="AA369" s="139">
        <f t="array" ref="AA369">SUM(IF(ISNUMBER(O369:Z369),O369:Z369))+ROW()/100000000</f>
        <v>3.6899999999999998E-6</v>
      </c>
      <c r="AB369" s="138">
        <f t="shared" si="97"/>
        <v>3.4999999999999999E-6</v>
      </c>
    </row>
    <row r="370" spans="2:28" ht="15">
      <c r="C370" s="137" t="str">
        <f t="shared" si="111"/>
        <v/>
      </c>
      <c r="D370" s="3" t="str">
        <f t="shared" si="109"/>
        <v>Griechenland</v>
      </c>
      <c r="E370" s="141">
        <f t="shared" si="112"/>
        <v>0</v>
      </c>
      <c r="G370" s="140" t="str">
        <f t="shared" si="110"/>
        <v>0:0</v>
      </c>
      <c r="H370" s="3" t="str">
        <f t="shared" si="114"/>
        <v/>
      </c>
      <c r="M370" s="3" t="str">
        <f>B241</f>
        <v>USA</v>
      </c>
      <c r="O370" s="1">
        <f t="shared" si="98"/>
        <v>0</v>
      </c>
      <c r="Q370" s="134" t="e">
        <f t="shared" si="99"/>
        <v>#N/A</v>
      </c>
      <c r="R370" s="134" t="e">
        <f t="shared" si="100"/>
        <v>#N/A</v>
      </c>
      <c r="S370" s="1" t="e">
        <f t="shared" si="101"/>
        <v>#N/A</v>
      </c>
      <c r="T370" s="1" t="e">
        <f t="shared" si="102"/>
        <v>#N/A</v>
      </c>
      <c r="U370" s="134" t="e">
        <f t="shared" si="103"/>
        <v>#N/A</v>
      </c>
      <c r="V370" s="134" t="e">
        <f t="shared" si="104"/>
        <v>#N/A</v>
      </c>
      <c r="W370" s="135" t="e">
        <f t="shared" si="105"/>
        <v>#N/A</v>
      </c>
      <c r="X370" s="135" t="e">
        <f t="shared" si="106"/>
        <v>#N/A</v>
      </c>
      <c r="Y370" s="134" t="e">
        <f t="shared" si="107"/>
        <v>#N/A</v>
      </c>
      <c r="Z370" s="134" t="e">
        <f t="shared" si="108"/>
        <v>#N/A</v>
      </c>
      <c r="AA370" s="139">
        <f t="array" ref="AA370">SUM(IF(ISNUMBER(O370:Z370),O370:Z370))+ROW()/100000000</f>
        <v>3.7000000000000002E-6</v>
      </c>
      <c r="AB370" s="138">
        <f t="shared" si="97"/>
        <v>3.49E-6</v>
      </c>
    </row>
    <row r="371" spans="2:28" ht="15">
      <c r="C371" s="137" t="str">
        <f t="shared" si="111"/>
        <v/>
      </c>
      <c r="D371" s="3" t="str">
        <f t="shared" si="109"/>
        <v>Kolumbien</v>
      </c>
      <c r="E371" s="141">
        <f t="shared" si="112"/>
        <v>0</v>
      </c>
      <c r="G371" s="140" t="str">
        <f t="shared" si="110"/>
        <v>0:0</v>
      </c>
      <c r="H371" s="3" t="str">
        <f t="shared" si="114"/>
        <v/>
      </c>
      <c r="M371" s="3" t="str">
        <f>B277</f>
        <v>Belgien</v>
      </c>
      <c r="O371" s="1">
        <f t="shared" si="98"/>
        <v>0</v>
      </c>
      <c r="Q371" s="134" t="e">
        <f t="shared" si="99"/>
        <v>#N/A</v>
      </c>
      <c r="R371" s="134" t="e">
        <f t="shared" si="100"/>
        <v>#N/A</v>
      </c>
      <c r="S371" s="1" t="e">
        <f t="shared" si="101"/>
        <v>#N/A</v>
      </c>
      <c r="T371" s="1" t="e">
        <f t="shared" si="102"/>
        <v>#N/A</v>
      </c>
      <c r="U371" s="134" t="e">
        <f t="shared" si="103"/>
        <v>#N/A</v>
      </c>
      <c r="V371" s="134" t="e">
        <f t="shared" si="104"/>
        <v>#N/A</v>
      </c>
      <c r="W371" s="135" t="e">
        <f t="shared" si="105"/>
        <v>#N/A</v>
      </c>
      <c r="X371" s="135" t="e">
        <f t="shared" si="106"/>
        <v>#N/A</v>
      </c>
      <c r="Y371" s="134" t="e">
        <f t="shared" si="107"/>
        <v>#N/A</v>
      </c>
      <c r="Z371" s="134" t="e">
        <f t="shared" si="108"/>
        <v>#N/A</v>
      </c>
      <c r="AA371" s="139">
        <f t="array" ref="AA371">SUM(IF(ISNUMBER(O371:Z371),O371:Z371))+ROW()/100000000</f>
        <v>3.7100000000000001E-6</v>
      </c>
      <c r="AB371" s="138">
        <f t="shared" si="97"/>
        <v>3.4800000000000001E-6</v>
      </c>
    </row>
    <row r="372" spans="2:28" ht="15">
      <c r="C372" s="137" t="str">
        <f t="shared" si="111"/>
        <v/>
      </c>
      <c r="D372" s="3" t="str">
        <f t="shared" si="109"/>
        <v>Australien</v>
      </c>
      <c r="E372" s="141">
        <f t="shared" si="112"/>
        <v>0</v>
      </c>
      <c r="G372" s="140" t="str">
        <f t="shared" si="110"/>
        <v>0:0</v>
      </c>
      <c r="H372" s="3" t="str">
        <f t="shared" si="114"/>
        <v/>
      </c>
      <c r="M372" s="3" t="str">
        <f>B278</f>
        <v>Algerien</v>
      </c>
      <c r="O372" s="1">
        <f t="shared" si="98"/>
        <v>0</v>
      </c>
      <c r="Q372" s="134" t="e">
        <f t="shared" si="99"/>
        <v>#N/A</v>
      </c>
      <c r="R372" s="134" t="e">
        <f t="shared" si="100"/>
        <v>#N/A</v>
      </c>
      <c r="S372" s="1" t="e">
        <f t="shared" si="101"/>
        <v>#N/A</v>
      </c>
      <c r="T372" s="1" t="e">
        <f t="shared" si="102"/>
        <v>#N/A</v>
      </c>
      <c r="U372" s="134" t="e">
        <f t="shared" si="103"/>
        <v>#N/A</v>
      </c>
      <c r="V372" s="134" t="e">
        <f t="shared" si="104"/>
        <v>#N/A</v>
      </c>
      <c r="W372" s="135" t="e">
        <f t="shared" si="105"/>
        <v>#N/A</v>
      </c>
      <c r="X372" s="135" t="e">
        <f t="shared" si="106"/>
        <v>#N/A</v>
      </c>
      <c r="Y372" s="134" t="e">
        <f t="shared" si="107"/>
        <v>#N/A</v>
      </c>
      <c r="Z372" s="134" t="e">
        <f t="shared" si="108"/>
        <v>#N/A</v>
      </c>
      <c r="AA372" s="139">
        <f t="array" ref="AA372">SUM(IF(ISNUMBER(O372:Z372),O372:Z372))+ROW()/100000000</f>
        <v>3.72E-6</v>
      </c>
      <c r="AB372" s="138">
        <f t="shared" si="97"/>
        <v>3.4699999999999998E-6</v>
      </c>
    </row>
    <row r="373" spans="2:28" ht="15">
      <c r="C373" s="137" t="str">
        <f t="shared" si="111"/>
        <v/>
      </c>
      <c r="D373" s="3" t="str">
        <f t="shared" si="109"/>
        <v>Chile</v>
      </c>
      <c r="E373" s="141">
        <f t="shared" si="112"/>
        <v>0</v>
      </c>
      <c r="G373" s="140" t="str">
        <f t="shared" si="110"/>
        <v>0:0</v>
      </c>
      <c r="H373" s="3" t="str">
        <f t="shared" si="114"/>
        <v/>
      </c>
      <c r="M373" s="3" t="str">
        <f>B279</f>
        <v>Russland</v>
      </c>
      <c r="O373" s="1">
        <f t="shared" si="98"/>
        <v>0</v>
      </c>
      <c r="Q373" s="134" t="e">
        <f t="shared" si="99"/>
        <v>#N/A</v>
      </c>
      <c r="R373" s="134" t="e">
        <f t="shared" si="100"/>
        <v>#N/A</v>
      </c>
      <c r="S373" s="1" t="e">
        <f t="shared" si="101"/>
        <v>#N/A</v>
      </c>
      <c r="T373" s="1" t="e">
        <f t="shared" si="102"/>
        <v>#N/A</v>
      </c>
      <c r="U373" s="134" t="e">
        <f t="shared" si="103"/>
        <v>#N/A</v>
      </c>
      <c r="V373" s="134" t="e">
        <f t="shared" si="104"/>
        <v>#N/A</v>
      </c>
      <c r="W373" s="135" t="e">
        <f t="shared" si="105"/>
        <v>#N/A</v>
      </c>
      <c r="X373" s="135" t="e">
        <f t="shared" si="106"/>
        <v>#N/A</v>
      </c>
      <c r="Y373" s="134" t="e">
        <f t="shared" si="107"/>
        <v>#N/A</v>
      </c>
      <c r="Z373" s="134" t="e">
        <f t="shared" si="108"/>
        <v>#N/A</v>
      </c>
      <c r="AA373" s="139">
        <f t="array" ref="AA373">SUM(IF(ISNUMBER(O373:Z373),O373:Z373))+ROW()/100000000</f>
        <v>3.7299999999999999E-6</v>
      </c>
      <c r="AB373" s="138">
        <f t="shared" si="97"/>
        <v>3.4599999999999999E-6</v>
      </c>
    </row>
    <row r="374" spans="2:28" ht="15">
      <c r="C374" s="137" t="str">
        <f t="shared" si="111"/>
        <v/>
      </c>
      <c r="D374" s="3" t="str">
        <f t="shared" si="109"/>
        <v>Holland</v>
      </c>
      <c r="E374" s="141">
        <f t="shared" si="112"/>
        <v>0</v>
      </c>
      <c r="G374" s="140" t="str">
        <f t="shared" si="110"/>
        <v>0:0</v>
      </c>
      <c r="H374" s="3" t="str">
        <f t="shared" si="114"/>
        <v/>
      </c>
      <c r="M374" s="3" t="str">
        <f>B280</f>
        <v>Südkorea</v>
      </c>
      <c r="O374" s="1">
        <f t="shared" si="98"/>
        <v>0</v>
      </c>
      <c r="Q374" s="134" t="e">
        <f t="shared" si="99"/>
        <v>#N/A</v>
      </c>
      <c r="R374" s="134" t="e">
        <f t="shared" si="100"/>
        <v>#N/A</v>
      </c>
      <c r="S374" s="1" t="e">
        <f t="shared" si="101"/>
        <v>#N/A</v>
      </c>
      <c r="T374" s="1" t="e">
        <f t="shared" si="102"/>
        <v>#N/A</v>
      </c>
      <c r="U374" s="134" t="e">
        <f t="shared" si="103"/>
        <v>#N/A</v>
      </c>
      <c r="V374" s="134" t="e">
        <f t="shared" si="104"/>
        <v>#N/A</v>
      </c>
      <c r="W374" s="135" t="e">
        <f t="shared" si="105"/>
        <v>#N/A</v>
      </c>
      <c r="X374" s="135" t="e">
        <f t="shared" si="106"/>
        <v>#N/A</v>
      </c>
      <c r="Y374" s="134" t="e">
        <f t="shared" si="107"/>
        <v>#N/A</v>
      </c>
      <c r="Z374" s="134" t="e">
        <f t="shared" si="108"/>
        <v>#N/A</v>
      </c>
      <c r="AA374" s="139">
        <f t="array" ref="AA374">SUM(IF(ISNUMBER(O374:Z374),O374:Z374))+ROW()/100000000</f>
        <v>3.7400000000000002E-6</v>
      </c>
      <c r="AB374" s="138">
        <f t="shared" si="97"/>
        <v>3.45E-6</v>
      </c>
    </row>
    <row r="375" spans="2:28" ht="15">
      <c r="B375"/>
      <c r="C375" s="137" t="str">
        <f t="shared" si="111"/>
        <v/>
      </c>
      <c r="D375" s="3" t="str">
        <f t="shared" si="109"/>
        <v>Spanien</v>
      </c>
      <c r="E375" s="141">
        <f t="shared" si="112"/>
        <v>0</v>
      </c>
      <c r="G375" s="140" t="str">
        <f t="shared" si="110"/>
        <v>0:0</v>
      </c>
      <c r="H375" s="3" t="str">
        <f t="shared" si="114"/>
        <v/>
      </c>
      <c r="W375" s="135"/>
      <c r="X375" s="135"/>
    </row>
    <row r="376" spans="2:28" ht="15">
      <c r="B376"/>
      <c r="C376" s="137" t="str">
        <f t="shared" si="111"/>
        <v/>
      </c>
      <c r="D376" s="3" t="str">
        <f t="shared" si="109"/>
        <v>Kamerun</v>
      </c>
      <c r="E376" s="141">
        <f t="shared" si="112"/>
        <v>0</v>
      </c>
      <c r="G376" s="140" t="str">
        <f t="shared" si="110"/>
        <v>0:0</v>
      </c>
      <c r="H376" s="3" t="str">
        <f t="shared" si="114"/>
        <v/>
      </c>
    </row>
    <row r="377" spans="2:28" ht="15">
      <c r="B377"/>
      <c r="C377" s="137" t="str">
        <f t="shared" si="111"/>
        <v/>
      </c>
      <c r="D377" s="3" t="str">
        <f t="shared" si="109"/>
        <v>Mexico</v>
      </c>
      <c r="E377" s="141">
        <f t="shared" si="112"/>
        <v>0</v>
      </c>
      <c r="G377" s="140" t="str">
        <f t="shared" si="110"/>
        <v>0:0</v>
      </c>
      <c r="H377" s="3" t="str">
        <f t="shared" si="114"/>
        <v/>
      </c>
    </row>
    <row r="378" spans="2:28">
      <c r="B378"/>
    </row>
    <row r="379" spans="2:28">
      <c r="B379"/>
    </row>
  </sheetData>
  <sheetCalcPr fullCalcOnLoad="1"/>
  <phoneticPr fontId="0" type="noConversion"/>
  <conditionalFormatting sqref="D338 D325:D328 D331:D332 D335">
    <cfRule type="expression" dxfId="41" priority="1" stopIfTrue="1">
      <formula>F325&gt;G325</formula>
    </cfRule>
  </conditionalFormatting>
  <conditionalFormatting sqref="E338 E325:E328 E331:E332 E335">
    <cfRule type="expression" dxfId="40" priority="2" stopIfTrue="1">
      <formula>G325&gt;F325</formula>
    </cfRule>
  </conditionalFormatting>
  <conditionalFormatting sqref="D315">
    <cfRule type="expression" dxfId="39" priority="3" stopIfTrue="1">
      <formula>F315&gt;G315</formula>
    </cfRule>
    <cfRule type="expression" dxfId="38" priority="4" stopIfTrue="1">
      <formula>P10&lt;&gt;12</formula>
    </cfRule>
  </conditionalFormatting>
  <conditionalFormatting sqref="D320">
    <cfRule type="expression" dxfId="37" priority="5" stopIfTrue="1">
      <formula>F320&gt;G320</formula>
    </cfRule>
    <cfRule type="expression" dxfId="36" priority="6" stopIfTrue="1">
      <formula>P243&lt;&gt;12</formula>
    </cfRule>
  </conditionalFormatting>
  <conditionalFormatting sqref="E315">
    <cfRule type="expression" dxfId="35" priority="7" stopIfTrue="1">
      <formula>G315&gt;F315</formula>
    </cfRule>
    <cfRule type="expression" dxfId="34" priority="8" stopIfTrue="1">
      <formula>P49&lt;&gt;12</formula>
    </cfRule>
  </conditionalFormatting>
  <conditionalFormatting sqref="D316">
    <cfRule type="expression" dxfId="33" priority="9" stopIfTrue="1">
      <formula>F316&gt;G316</formula>
    </cfRule>
    <cfRule type="expression" dxfId="32" priority="10" stopIfTrue="1">
      <formula>P88&lt;&gt;12</formula>
    </cfRule>
  </conditionalFormatting>
  <conditionalFormatting sqref="E316">
    <cfRule type="expression" dxfId="31" priority="11" stopIfTrue="1">
      <formula>G316&gt;F316</formula>
    </cfRule>
    <cfRule type="expression" dxfId="30" priority="12" stopIfTrue="1">
      <formula>P127&lt;&gt;12</formula>
    </cfRule>
  </conditionalFormatting>
  <conditionalFormatting sqref="D317">
    <cfRule type="expression" dxfId="29" priority="13" stopIfTrue="1">
      <formula>F317&gt;G317</formula>
    </cfRule>
    <cfRule type="expression" dxfId="28" priority="14" stopIfTrue="1">
      <formula>P127&lt;&gt;12</formula>
    </cfRule>
  </conditionalFormatting>
  <conditionalFormatting sqref="E317">
    <cfRule type="expression" dxfId="27" priority="15" stopIfTrue="1">
      <formula>G317&gt;F317</formula>
    </cfRule>
    <cfRule type="expression" dxfId="26" priority="16" stopIfTrue="1">
      <formula>P88&lt;&gt;12</formula>
    </cfRule>
  </conditionalFormatting>
  <conditionalFormatting sqref="D318">
    <cfRule type="expression" dxfId="25" priority="17" stopIfTrue="1">
      <formula>F318&gt;G318</formula>
    </cfRule>
    <cfRule type="expression" dxfId="24" priority="18" stopIfTrue="1">
      <formula>P49&lt;&gt;12</formula>
    </cfRule>
  </conditionalFormatting>
  <conditionalFormatting sqref="E318">
    <cfRule type="expression" dxfId="23" priority="19" stopIfTrue="1">
      <formula>G318&gt;F318</formula>
    </cfRule>
    <cfRule type="expression" dxfId="22" priority="20" stopIfTrue="1">
      <formula>P10&lt;&gt;12</formula>
    </cfRule>
  </conditionalFormatting>
  <conditionalFormatting sqref="D319">
    <cfRule type="expression" dxfId="21" priority="21" stopIfTrue="1">
      <formula>F319&gt;G319</formula>
    </cfRule>
    <cfRule type="expression" dxfId="20" priority="22" stopIfTrue="1">
      <formula>P165&lt;&gt;12</formula>
    </cfRule>
  </conditionalFormatting>
  <conditionalFormatting sqref="E319">
    <cfRule type="expression" dxfId="19" priority="23" stopIfTrue="1">
      <formula>G319&gt;F319</formula>
    </cfRule>
    <cfRule type="expression" dxfId="18" priority="24" stopIfTrue="1">
      <formula>P204&lt;&gt;12</formula>
    </cfRule>
  </conditionalFormatting>
  <conditionalFormatting sqref="D321">
    <cfRule type="expression" dxfId="17" priority="25" stopIfTrue="1">
      <formula>F321&gt;G321</formula>
    </cfRule>
    <cfRule type="expression" dxfId="16" priority="26" stopIfTrue="1">
      <formula>P204&lt;&gt;12</formula>
    </cfRule>
  </conditionalFormatting>
  <conditionalFormatting sqref="E321">
    <cfRule type="expression" dxfId="15" priority="27" stopIfTrue="1">
      <formula>G321&gt;F321</formula>
    </cfRule>
    <cfRule type="expression" dxfId="14" priority="28" stopIfTrue="1">
      <formula>P165&lt;&gt;12</formula>
    </cfRule>
  </conditionalFormatting>
  <conditionalFormatting sqref="E322">
    <cfRule type="expression" dxfId="13" priority="29" stopIfTrue="1">
      <formula>G322&gt;F322</formula>
    </cfRule>
    <cfRule type="expression" dxfId="12" priority="30" stopIfTrue="1">
      <formula>P243&lt;&gt;12</formula>
    </cfRule>
  </conditionalFormatting>
  <conditionalFormatting sqref="E320">
    <cfRule type="expression" dxfId="11" priority="31" stopIfTrue="1">
      <formula>G320&gt;F320</formula>
    </cfRule>
    <cfRule type="expression" dxfId="10" priority="32" stopIfTrue="1">
      <formula>P282&lt;&gt;12</formula>
    </cfRule>
  </conditionalFormatting>
  <conditionalFormatting sqref="D322">
    <cfRule type="expression" dxfId="9" priority="33" stopIfTrue="1">
      <formula>F322&gt;G322</formula>
    </cfRule>
    <cfRule type="expression" dxfId="8" priority="34" stopIfTrue="1">
      <formula>P282&lt;&gt;12</formula>
    </cfRule>
  </conditionalFormatting>
  <conditionalFormatting sqref="D42:D47 D236:D241 D81:D86 D3:D8 D120:D125 D158:D163 D197:D202 D275:D280">
    <cfRule type="expression" dxfId="7" priority="35" stopIfTrue="1">
      <formula>F3&gt;G3</formula>
    </cfRule>
    <cfRule type="expression" dxfId="6" priority="36" stopIfTrue="1">
      <formula>F3&lt;G3</formula>
    </cfRule>
  </conditionalFormatting>
  <conditionalFormatting sqref="E42:E47 E236:E241 E81:E86 E3:E8 E120:E125 E158:E163 E197:E202 E275:E280">
    <cfRule type="expression" dxfId="5" priority="37" stopIfTrue="1">
      <formula>G3&gt;F3</formula>
    </cfRule>
    <cfRule type="expression" dxfId="4" priority="38" stopIfTrue="1">
      <formula>G3&lt;F3</formula>
    </cfRule>
  </conditionalFormatting>
  <conditionalFormatting sqref="AT5:AT6 AT44:AT45 AT83:AT84 AT122:AT123 AT160:AT161 AT199:AT200 AT238:AT239 AT277:AT278">
    <cfRule type="expression" dxfId="3" priority="39" stopIfTrue="1">
      <formula>AU5=3</formula>
    </cfRule>
  </conditionalFormatting>
  <conditionalFormatting sqref="AT7:AT8 AT46:AT47 AT85:AT86 AT124:AT125 AT162:AT163 AT201:AT202 AT240:AT241 AT279:AT280">
    <cfRule type="expression" dxfId="2" priority="40" stopIfTrue="1">
      <formula>AU7=3</formula>
    </cfRule>
  </conditionalFormatting>
  <pageMargins left="0.23" right="0.24" top="0.52" bottom="0.55000000000000004" header="0.27" footer="0.17"/>
  <pageSetup paperSize="9" scale="78" fitToHeight="2" orientation="portrait" blackAndWhite="1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2"/>
  <sheetViews>
    <sheetView showGridLines="0" zoomScale="90" workbookViewId="0">
      <selection activeCell="D17" sqref="D17"/>
    </sheetView>
  </sheetViews>
  <sheetFormatPr baseColWidth="10" defaultColWidth="12.5703125" defaultRowHeight="15"/>
  <cols>
    <col min="1" max="1" width="9.42578125" style="168" customWidth="1"/>
    <col min="2" max="2" width="15.7109375" style="178" customWidth="1"/>
    <col min="3" max="3" width="6.5703125" style="167" customWidth="1"/>
    <col min="4" max="4" width="15.7109375" style="178" customWidth="1"/>
    <col min="5" max="5" width="6.5703125" style="167" customWidth="1"/>
    <col min="6" max="6" width="15.7109375" style="178" customWidth="1"/>
    <col min="7" max="7" width="7.140625" style="168" customWidth="1"/>
    <col min="8" max="8" width="15.7109375" style="168" customWidth="1"/>
    <col min="9" max="9" width="22" style="170" customWidth="1"/>
    <col min="10" max="10" width="19.140625" style="168" customWidth="1"/>
    <col min="11" max="16384" width="12.5703125" style="168"/>
  </cols>
  <sheetData>
    <row r="1" spans="1:11" ht="11.25" customHeight="1"/>
    <row r="2" spans="1:11" ht="15" customHeight="1">
      <c r="A2" s="166" t="s">
        <v>194</v>
      </c>
      <c r="B2" s="179" t="str">
        <f>'WM 2014'!D315</f>
        <v>1. A</v>
      </c>
    </row>
    <row r="3" spans="1:11" ht="15" customHeight="1">
      <c r="B3" s="179" t="str">
        <f>'WM 2014'!F315&amp;":"&amp;'WM 2014'!G315</f>
        <v>:</v>
      </c>
      <c r="C3" s="167" t="s">
        <v>203</v>
      </c>
      <c r="D3" s="179" t="str">
        <f>'WM 2014'!D326</f>
        <v>(5)</v>
      </c>
    </row>
    <row r="4" spans="1:11" ht="15" customHeight="1">
      <c r="B4" s="179" t="str">
        <f>'WM 2014'!E315</f>
        <v>2. B</v>
      </c>
      <c r="D4" s="179"/>
    </row>
    <row r="5" spans="1:11" ht="15" customHeight="1">
      <c r="D5" s="179" t="str">
        <f>ROUND('WM 2014'!F326,0)&amp;":"&amp;'WM 2014'!G326</f>
        <v>0:</v>
      </c>
      <c r="E5" s="167" t="s">
        <v>316</v>
      </c>
      <c r="F5" s="179" t="str">
        <f>'WM 2014'!E331</f>
        <v>V2</v>
      </c>
    </row>
    <row r="6" spans="1:11" ht="15" customHeight="1">
      <c r="A6" s="166" t="s">
        <v>195</v>
      </c>
      <c r="B6" s="179" t="str">
        <f>'WM 2014'!D316</f>
        <v>1. C</v>
      </c>
      <c r="D6" s="179"/>
      <c r="F6" s="179"/>
    </row>
    <row r="7" spans="1:11" ht="15" customHeight="1">
      <c r="B7" s="179" t="str">
        <f>'WM 2014'!F316&amp;":"&amp;'WM 2014'!G316</f>
        <v>:</v>
      </c>
      <c r="D7" s="179" t="str">
        <f>'WM 2014'!E326</f>
        <v>(6)</v>
      </c>
      <c r="F7" s="179"/>
    </row>
    <row r="8" spans="1:11" ht="15" customHeight="1">
      <c r="B8" s="179" t="str">
        <f>'WM 2014'!E316</f>
        <v>2. D</v>
      </c>
      <c r="F8" s="179"/>
    </row>
    <row r="9" spans="1:11" ht="15" customHeight="1">
      <c r="F9" s="179" t="str">
        <f>'WM 2014'!G331&amp;":"&amp;'WM 2014'!F331</f>
        <v>:</v>
      </c>
      <c r="G9" s="170" t="str">
        <f>IF(H17=":","",IF(LEFT(H17)*1&lt;RIGHT(H17)*1,"2.",""))</f>
        <v/>
      </c>
      <c r="H9" s="169" t="str">
        <f>'WM 2014'!D338</f>
        <v/>
      </c>
    </row>
    <row r="10" spans="1:11" ht="15" customHeight="1">
      <c r="A10" s="166" t="s">
        <v>198</v>
      </c>
      <c r="B10" s="179" t="str">
        <f>'WM 2014'!D319</f>
        <v>1. E</v>
      </c>
      <c r="F10" s="179"/>
      <c r="H10" s="169"/>
      <c r="K10" s="170"/>
    </row>
    <row r="11" spans="1:11" ht="15" customHeight="1">
      <c r="B11" s="179" t="str">
        <f>'WM 2014'!F319&amp;":"&amp;'WM 2014'!G319</f>
        <v>:</v>
      </c>
      <c r="C11" s="167" t="s">
        <v>202</v>
      </c>
      <c r="D11" s="179" t="str">
        <f>'WM 2014'!D325</f>
        <v>(1)</v>
      </c>
      <c r="F11" s="179"/>
      <c r="H11" s="169"/>
    </row>
    <row r="12" spans="1:11" ht="15" customHeight="1">
      <c r="B12" s="179" t="str">
        <f>'WM 2014'!E319</f>
        <v>2. F</v>
      </c>
      <c r="D12" s="179"/>
      <c r="F12" s="179"/>
      <c r="H12" s="169"/>
    </row>
    <row r="13" spans="1:11" ht="15" customHeight="1">
      <c r="D13" s="179" t="str">
        <f>'WM 2014'!F325&amp;":"&amp;'WM 2014'!G325</f>
        <v>:</v>
      </c>
      <c r="F13" s="179" t="str">
        <f>'WM 2014'!D331</f>
        <v>V1</v>
      </c>
      <c r="H13" s="169"/>
    </row>
    <row r="14" spans="1:11" ht="15" customHeight="1">
      <c r="A14" s="166" t="s">
        <v>199</v>
      </c>
      <c r="B14" s="179" t="str">
        <f>'WM 2014'!D320</f>
        <v>1. G</v>
      </c>
      <c r="D14" s="179"/>
      <c r="H14" s="169"/>
    </row>
    <row r="15" spans="1:11" ht="15" customHeight="1">
      <c r="B15" s="179" t="str">
        <f>'WM 2014'!F320&amp;":"&amp;'WM 2014'!G320</f>
        <v>:</v>
      </c>
      <c r="D15" s="179" t="str">
        <f>'WM 2014'!E325</f>
        <v>(2)</v>
      </c>
      <c r="H15" s="169"/>
    </row>
    <row r="16" spans="1:11" ht="15" customHeight="1">
      <c r="B16" s="179" t="str">
        <f>'WM 2014'!E320</f>
        <v>2. H</v>
      </c>
      <c r="E16" s="167" t="str">
        <f>IF(F17="","",IF(LEFT(F17)*1&gt;RIGHT(F17)*1,"3.",""))</f>
        <v/>
      </c>
      <c r="F16" s="233" t="str">
        <f>'WM 2014'!D335</f>
        <v/>
      </c>
      <c r="H16" s="169"/>
    </row>
    <row r="17" spans="1:10" s="171" customFormat="1" ht="20.25">
      <c r="B17" s="180"/>
      <c r="C17" s="172"/>
      <c r="D17" s="180"/>
      <c r="E17" s="172"/>
      <c r="F17" s="234" t="str">
        <f>IF('WM 2014'!F335="","",'WM 2014'!F335&amp;":"&amp;'WM 2014'!G335)</f>
        <v/>
      </c>
      <c r="H17" s="173" t="str">
        <f>'WM 2014'!F338&amp;":"&amp;'WM 2014'!G338</f>
        <v>:</v>
      </c>
      <c r="I17" s="176" t="s">
        <v>29</v>
      </c>
      <c r="J17" s="177" t="str">
        <f>'WM 2014'!H341</f>
        <v/>
      </c>
    </row>
    <row r="18" spans="1:10" ht="15" customHeight="1">
      <c r="A18" s="166" t="s">
        <v>196</v>
      </c>
      <c r="B18" s="179" t="str">
        <f>'WM 2014'!D317</f>
        <v>1. B</v>
      </c>
      <c r="E18" s="167" t="str">
        <f>IF(F17="","",IF(LEFT(F17)*1&lt;RIGHT(F17)*1,"3.",""))</f>
        <v/>
      </c>
      <c r="F18" s="233" t="str">
        <f>'WM 2014'!E335</f>
        <v/>
      </c>
      <c r="H18" s="169"/>
    </row>
    <row r="19" spans="1:10" ht="15" customHeight="1">
      <c r="B19" s="179" t="str">
        <f>'WM 2014'!F317&amp;":"&amp;'WM 2014'!G317</f>
        <v>:</v>
      </c>
      <c r="C19" s="167" t="s">
        <v>204</v>
      </c>
      <c r="D19" s="179" t="str">
        <f>'WM 2014'!D327</f>
        <v>(3)</v>
      </c>
      <c r="H19" s="169"/>
    </row>
    <row r="20" spans="1:10" ht="15" customHeight="1">
      <c r="B20" s="179" t="str">
        <f>'WM 2014'!E317</f>
        <v>2. A</v>
      </c>
      <c r="D20" s="179"/>
      <c r="H20" s="169"/>
    </row>
    <row r="21" spans="1:10" ht="15" customHeight="1">
      <c r="D21" s="179" t="str">
        <f>'WM 2014'!F327&amp;":"&amp;'WM 2014'!G327</f>
        <v>:</v>
      </c>
      <c r="E21" s="167" t="s">
        <v>317</v>
      </c>
      <c r="F21" s="179" t="str">
        <f>'WM 2014'!D332</f>
        <v>V3</v>
      </c>
      <c r="H21" s="169"/>
    </row>
    <row r="22" spans="1:10" ht="15" customHeight="1">
      <c r="A22" s="166" t="s">
        <v>197</v>
      </c>
      <c r="B22" s="179" t="str">
        <f>'WM 2014'!D318</f>
        <v>1. D</v>
      </c>
      <c r="D22" s="179"/>
      <c r="F22" s="179"/>
      <c r="H22" s="169"/>
    </row>
    <row r="23" spans="1:10" ht="15" customHeight="1">
      <c r="B23" s="179" t="str">
        <f>'WM 2014'!F318&amp;":"&amp;'WM 2014'!G318</f>
        <v>:</v>
      </c>
      <c r="D23" s="179" t="str">
        <f>'WM 2014'!E327</f>
        <v>(4)</v>
      </c>
      <c r="F23" s="179"/>
      <c r="H23" s="169"/>
    </row>
    <row r="24" spans="1:10" ht="15" customHeight="1">
      <c r="B24" s="179" t="str">
        <f>'WM 2014'!E318</f>
        <v>2. C</v>
      </c>
      <c r="F24" s="179"/>
      <c r="H24" s="169"/>
    </row>
    <row r="25" spans="1:10" ht="15" customHeight="1">
      <c r="F25" s="179" t="str">
        <f>'WM 2014'!F332&amp;":"&amp;'WM 2014'!G332</f>
        <v>:</v>
      </c>
      <c r="G25" s="167" t="str">
        <f>IF(H17=":","",IF(LEFT(H17)*1&gt;RIGHT(H17)*1,"2.",""))</f>
        <v/>
      </c>
      <c r="H25" s="169" t="str">
        <f>'WM 2014'!E338</f>
        <v/>
      </c>
    </row>
    <row r="26" spans="1:10" ht="15" customHeight="1">
      <c r="A26" s="166" t="s">
        <v>200</v>
      </c>
      <c r="B26" s="179" t="str">
        <f>'WM 2014'!D321</f>
        <v>1. F</v>
      </c>
      <c r="F26" s="179"/>
    </row>
    <row r="27" spans="1:10" ht="15" customHeight="1">
      <c r="B27" s="179" t="str">
        <f>ROUND('WM 2014'!F321,0)&amp;":"&amp;'WM 2014'!G321</f>
        <v>0:</v>
      </c>
      <c r="C27" s="167" t="s">
        <v>205</v>
      </c>
      <c r="D27" s="179" t="str">
        <f>'WM 2014'!D328</f>
        <v>(7)</v>
      </c>
      <c r="F27" s="179"/>
    </row>
    <row r="28" spans="1:10" ht="15" customHeight="1">
      <c r="B28" s="179" t="str">
        <f>'WM 2014'!E321</f>
        <v>2. E</v>
      </c>
      <c r="D28" s="179"/>
      <c r="F28" s="179"/>
    </row>
    <row r="29" spans="1:10" ht="15" customHeight="1">
      <c r="D29" s="179" t="str">
        <f>'WM 2014'!F328&amp;":"&amp;'WM 2014'!G328</f>
        <v>:</v>
      </c>
      <c r="F29" s="179" t="str">
        <f>'WM 2014'!E332</f>
        <v>V4</v>
      </c>
    </row>
    <row r="30" spans="1:10" ht="15" customHeight="1">
      <c r="A30" s="166" t="s">
        <v>201</v>
      </c>
      <c r="B30" s="179" t="str">
        <f>'WM 2014'!D322</f>
        <v>1. H</v>
      </c>
      <c r="D30" s="179"/>
    </row>
    <row r="31" spans="1:10" ht="15" customHeight="1">
      <c r="B31" s="179" t="str">
        <f>'WM 2014'!F322&amp;":"&amp;'WM 2014'!G322</f>
        <v>:</v>
      </c>
      <c r="D31" s="179" t="str">
        <f>'WM 2014'!E328</f>
        <v>(8)</v>
      </c>
    </row>
    <row r="32" spans="1:10" ht="15" customHeight="1">
      <c r="B32" s="179" t="str">
        <f>'WM 2014'!E322</f>
        <v>2. G</v>
      </c>
    </row>
  </sheetData>
  <phoneticPr fontId="2" type="noConversion"/>
  <conditionalFormatting sqref="B2:H32">
    <cfRule type="expression" dxfId="1" priority="1" stopIfTrue="1">
      <formula>B2=$J$17</formula>
    </cfRule>
    <cfRule type="expression" dxfId="0" priority="2" stopIfTrue="1">
      <formula>B2="Deutschland"</formula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alle WM</vt:lpstr>
      <vt:lpstr>Teilnehmer</vt:lpstr>
      <vt:lpstr>Gegner Deutschland</vt:lpstr>
      <vt:lpstr>WM 2010</vt:lpstr>
      <vt:lpstr>WM-Quali 2014</vt:lpstr>
      <vt:lpstr>WM 2014</vt:lpstr>
      <vt:lpstr>Finalbaum</vt:lpstr>
      <vt:lpstr>'Gegner Deutschland'!Druckbereich</vt:lpstr>
      <vt:lpstr>Teilnehmer!Druckbereich</vt:lpstr>
      <vt:lpstr>'WM 2010'!Druckbereich</vt:lpstr>
      <vt:lpstr>'WM 2014'!Druckbereich</vt:lpstr>
      <vt:lpstr>Teilnehmer!Drucktitel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</dc:creator>
  <cp:lastModifiedBy>Admin</cp:lastModifiedBy>
  <cp:lastPrinted>2012-06-11T06:32:42Z</cp:lastPrinted>
  <dcterms:created xsi:type="dcterms:W3CDTF">2000-06-21T08:03:22Z</dcterms:created>
  <dcterms:modified xsi:type="dcterms:W3CDTF">2014-05-08T19:15:44Z</dcterms:modified>
</cp:coreProperties>
</file>